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gtel.sharepoint.com/sites/SingtelInvestorRelations/Shared Documents/General/Results/FY2025 (4Q) - 22 May 2025/HFS/"/>
    </mc:Choice>
  </mc:AlternateContent>
  <xr:revisionPtr revIDLastSave="1278" documentId="8_{A7DF01B9-D09D-46DF-AC75-BC4E24E9CEBC}" xr6:coauthVersionLast="47" xr6:coauthVersionMax="47" xr10:uidLastSave="{49E43DD6-B4D6-4027-A342-88247AAC3D5E}"/>
  <bookViews>
    <workbookView xWindow="-120" yWindow="-21720" windowWidth="38640" windowHeight="21240" tabRatio="873" xr2:uid="{00000000-000D-0000-FFFF-FFFF00000000}"/>
  </bookViews>
  <sheets>
    <sheet name="Group P&amp;L (Half year)" sheetId="37" r:id="rId1"/>
    <sheet name="Optus (A$) (Half Year)" sheetId="81" r:id="rId2"/>
    <sheet name="Singtel Singapore (Half year)" sheetId="76" r:id="rId3"/>
    <sheet name="Singapore Consumer (Half year)" sheetId="39" state="hidden" r:id="rId4"/>
    <sheet name="NCS (Half year)" sheetId="51" r:id="rId5"/>
    <sheet name="Digital Co (Half year)" sheetId="77" r:id="rId6"/>
    <sheet name="Group Enterprise (Half year)" sheetId="41" state="hidden" r:id="rId7"/>
    <sheet name="Associates (Half year)" sheetId="43" r:id="rId8"/>
    <sheet name="Singapore drivers (Half year)" sheetId="44" r:id="rId9"/>
    <sheet name="Optus drivers (Half year)" sheetId="79" r:id="rId10"/>
    <sheet name="Group Balance Sheet (Half year)" sheetId="80" r:id="rId11"/>
  </sheets>
  <externalReferences>
    <externalReference r:id="rId12"/>
    <externalReference r:id="rId13"/>
    <externalReference r:id="rId14"/>
  </externalReferences>
  <definedNames>
    <definedName name="a" localSheetId="1">#REF!</definedName>
    <definedName name="a" localSheetId="9">#REF!</definedName>
    <definedName name="a">#REF!</definedName>
    <definedName name="aa" localSheetId="9">#REF!</definedName>
    <definedName name="aa">#REF!</definedName>
    <definedName name="aaa" localSheetId="9">#REF!</definedName>
    <definedName name="aaa">#REF!</definedName>
    <definedName name="abc" localSheetId="9">#REF!</definedName>
    <definedName name="abc">#REF!</definedName>
    <definedName name="apple" localSheetId="9">#REF!</definedName>
    <definedName name="apple">#REF!</definedName>
    <definedName name="b" localSheetId="9">#REF!</definedName>
    <definedName name="b">#REF!</definedName>
    <definedName name="bb" localSheetId="9">#REF!</definedName>
    <definedName name="bb">#REF!</definedName>
    <definedName name="Breda" localSheetId="9">#REF!</definedName>
    <definedName name="Breda">#REF!</definedName>
    <definedName name="gh" localSheetId="9">#REF!</definedName>
    <definedName name="gh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"07/21/2023 01:23:00"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" localSheetId="9">#REF!</definedName>
    <definedName name="m">#REF!</definedName>
    <definedName name="MigratetoPrepaidQuarterlyreporyFY18_fbaec708a22c4cd595a9c7d73193535e_fbaec708a22c4cd595a9c7d73193535e" localSheetId="1">'[1]Cognos data'!#REF!</definedName>
    <definedName name="MigratetoPrepaidQuarterlyreporyFY18_fbaec708a22c4cd595a9c7d73193535e_fbaec708a22c4cd595a9c7d73193535e" localSheetId="9">'[1]Cognos data'!#REF!</definedName>
    <definedName name="MigratetoPrepaidQuarterlyreporyFY18_fbaec708a22c4cd595a9c7d73193535e_fbaec708a22c4cd595a9c7d73193535e">'[2]Cognos data'!#REF!</definedName>
    <definedName name="MigratetoPrepaidQuarterlyreporyFY18_fbaec708a22c4cd595a9c7d73193535e_fbaec708a22c4cd595a9c7d73193535e_Columns" localSheetId="1">'[1]Cognos data'!#REF!</definedName>
    <definedName name="MigratetoPrepaidQuarterlyreporyFY18_fbaec708a22c4cd595a9c7d73193535e_fbaec708a22c4cd595a9c7d73193535e_Columns" localSheetId="9">'[1]Cognos data'!#REF!</definedName>
    <definedName name="MigratetoPrepaidQuarterlyreporyFY18_fbaec708a22c4cd595a9c7d73193535e_fbaec708a22c4cd595a9c7d73193535e_Columns">'[2]Cognos data'!#REF!</definedName>
    <definedName name="MigratetoPrepaidQuarterlyreporyFY18_fbaec708a22c4cd595a9c7d73193535e_fbaec708a22c4cd595a9c7d73193535e_Measure" localSheetId="1">'[1]Cognos data'!#REF!</definedName>
    <definedName name="MigratetoPrepaidQuarterlyreporyFY18_fbaec708a22c4cd595a9c7d73193535e_fbaec708a22c4cd595a9c7d73193535e_Measure" localSheetId="9">'[1]Cognos data'!#REF!</definedName>
    <definedName name="MigratetoPrepaidQuarterlyreporyFY18_fbaec708a22c4cd595a9c7d73193535e_fbaec708a22c4cd595a9c7d73193535e_Measure">'[2]Cognos data'!#REF!</definedName>
    <definedName name="MigratetoPrepaidQuarterlyreporyFY18_fbaec708a22c4cd595a9c7d73193535e_fbaec708a22c4cd595a9c7d73193535e_Rows" localSheetId="1">'[1]Cognos data'!#REF!</definedName>
    <definedName name="MigratetoPrepaidQuarterlyreporyFY18_fbaec708a22c4cd595a9c7d73193535e_fbaec708a22c4cd595a9c7d73193535e_Rows" localSheetId="9">'[1]Cognos data'!#REF!</definedName>
    <definedName name="MigratetoPrepaidQuarterlyreporyFY18_fbaec708a22c4cd595a9c7d73193535e_fbaec708a22c4cd595a9c7d73193535e_Rows">'[2]Cognos data'!#REF!</definedName>
    <definedName name="MigratetoPrepaidQuarterlyreporyFY181_fbaec708a22c4cd595a9c7d73193535e_fbaec708a22c4cd595a9c7d73193535e" localSheetId="1">'[1]Cognos data'!#REF!</definedName>
    <definedName name="MigratetoPrepaidQuarterlyreporyFY181_fbaec708a22c4cd595a9c7d73193535e_fbaec708a22c4cd595a9c7d73193535e" localSheetId="9">'[1]Cognos data'!#REF!</definedName>
    <definedName name="MigratetoPrepaidQuarterlyreporyFY181_fbaec708a22c4cd595a9c7d73193535e_fbaec708a22c4cd595a9c7d73193535e">'[2]Cognos data'!#REF!</definedName>
    <definedName name="MigratetoPrepaidQuarterlyreporyFY181_fbaec708a22c4cd595a9c7d73193535e_fbaec708a22c4cd595a9c7d73193535e_Columns" localSheetId="1">'[1]Cognos data'!#REF!</definedName>
    <definedName name="MigratetoPrepaidQuarterlyreporyFY181_fbaec708a22c4cd595a9c7d73193535e_fbaec708a22c4cd595a9c7d73193535e_Columns" localSheetId="9">'[1]Cognos data'!#REF!</definedName>
    <definedName name="MigratetoPrepaidQuarterlyreporyFY181_fbaec708a22c4cd595a9c7d73193535e_fbaec708a22c4cd595a9c7d73193535e_Columns">'[2]Cognos data'!#REF!</definedName>
    <definedName name="MigratetoPrepaidQuarterlyreporyFY181_fbaec708a22c4cd595a9c7d73193535e_fbaec708a22c4cd595a9c7d73193535e_Measure" localSheetId="1">'[1]Cognos data'!#REF!</definedName>
    <definedName name="MigratetoPrepaidQuarterlyreporyFY181_fbaec708a22c4cd595a9c7d73193535e_fbaec708a22c4cd595a9c7d73193535e_Measure" localSheetId="9">'[1]Cognos data'!#REF!</definedName>
    <definedName name="MigratetoPrepaidQuarterlyreporyFY181_fbaec708a22c4cd595a9c7d73193535e_fbaec708a22c4cd595a9c7d73193535e_Measure">'[2]Cognos data'!#REF!</definedName>
    <definedName name="MigratetoPrepaidQuarterlyreporyFY181_fbaec708a22c4cd595a9c7d73193535e_fbaec708a22c4cd595a9c7d73193535e_Rows" localSheetId="1">'[1]Cognos data'!#REF!</definedName>
    <definedName name="MigratetoPrepaidQuarterlyreporyFY181_fbaec708a22c4cd595a9c7d73193535e_fbaec708a22c4cd595a9c7d73193535e_Rows" localSheetId="9">'[1]Cognos data'!#REF!</definedName>
    <definedName name="MigratetoPrepaidQuarterlyreporyFY181_fbaec708a22c4cd595a9c7d73193535e_fbaec708a22c4cd595a9c7d73193535e_Rows">'[2]Cognos data'!#REF!</definedName>
    <definedName name="mm" localSheetId="1">#REF!</definedName>
    <definedName name="mm" localSheetId="9">#REF!</definedName>
    <definedName name="mm">#REF!</definedName>
    <definedName name="Note7" localSheetId="1">#REF!</definedName>
    <definedName name="Note7" localSheetId="9">#REF!</definedName>
    <definedName name="Note7">#REF!</definedName>
    <definedName name="Oppo" localSheetId="1">#REF!</definedName>
    <definedName name="Oppo" localSheetId="9">#REF!</definedName>
    <definedName name="Oppo">#REF!</definedName>
    <definedName name="OppoR" localSheetId="9">#REF!</definedName>
    <definedName name="OppoR">#REF!</definedName>
    <definedName name="p" localSheetId="9">#REF!</definedName>
    <definedName name="p">#REF!</definedName>
    <definedName name="pixel3" localSheetId="9">#REF!</definedName>
    <definedName name="pixel3">#REF!</definedName>
    <definedName name="pixel3xl" localSheetId="9">#REF!</definedName>
    <definedName name="pixel3xl">#REF!</definedName>
    <definedName name="_xlnm.Print_Area" localSheetId="7">'Associates (Half year)'!$A$1:$N$56</definedName>
    <definedName name="_xlnm.Print_Area" localSheetId="5">'Digital Co (Half year)'!$A$1:$L$42</definedName>
    <definedName name="_xlnm.Print_Area" localSheetId="10">'Group Balance Sheet (Half year)'!$A$1:$L$29</definedName>
    <definedName name="_xlnm.Print_Area" localSheetId="6">'Group Enterprise (Half year)'!$A$1:$J$48</definedName>
    <definedName name="_xlnm.Print_Area" localSheetId="0">'Group P&amp;L (Half year)'!$A$1:$K$52</definedName>
    <definedName name="_xlnm.Print_Area" localSheetId="4">'NCS (Half year)'!$A$1:$N$61</definedName>
    <definedName name="_xlnm.Print_Area" localSheetId="1">'Optus (A$) (Half Year)'!$A$1:$L$44</definedName>
    <definedName name="_xlnm.Print_Area" localSheetId="9">'Optus drivers (Half year)'!#REF!</definedName>
    <definedName name="_xlnm.Print_Area" localSheetId="3">'Singapore Consumer (Half year)'!$A$1:$M$48</definedName>
    <definedName name="_xlnm.Print_Area" localSheetId="8">'Singapore drivers (Half year)'!$A$1:$N$43</definedName>
    <definedName name="_xlnm.Print_Area" localSheetId="2">'Singtel Singapore (Half year)'!$A$1:$N$50</definedName>
    <definedName name="Section2_1">'[3]Section 2'!$P$12+'[3]Section 2'!$A$4:$N$30</definedName>
    <definedName name="TM1REBUILDOPTION">1</definedName>
    <definedName name="ty" localSheetId="1">#REF!</definedName>
    <definedName name="ty" localSheetId="9">#REF!</definedName>
    <definedName name="ty">#REF!</definedName>
    <definedName name="WA" localSheetId="1">#REF!</definedName>
    <definedName name="WA" localSheetId="9">#REF!</definedName>
    <definedName name="WA">#REF!</definedName>
    <definedName name="x" localSheetId="9">#REF!</definedName>
    <definedName name="x">#REF!</definedName>
    <definedName name="Z_26CEF2E8_D3C0_46EB_A92A_90675AC5FBCA_.wvu.Cols" localSheetId="7" hidden="1">'Associates (Half year)'!#REF!,'Associates (Half year)'!#REF!</definedName>
    <definedName name="Z_26CEF2E8_D3C0_46EB_A92A_90675AC5FBCA_.wvu.Cols" localSheetId="10" hidden="1">'Group Balance Sheet (Half year)'!#REF!,'Group Balance Sheet (Half year)'!#REF!</definedName>
    <definedName name="Z_26CEF2E8_D3C0_46EB_A92A_90675AC5FBCA_.wvu.Cols" localSheetId="0" hidden="1">'Group P&amp;L (Half year)'!#REF!,'Group P&amp;L (Half year)'!#REF!</definedName>
    <definedName name="Z_26CEF2E8_D3C0_46EB_A92A_90675AC5FBCA_.wvu.Cols" localSheetId="8" hidden="1">'Singapore drivers (Half year)'!#REF!,'Singapore drivers (Half year)'!#REF!</definedName>
    <definedName name="Z_26CEF2E8_D3C0_46EB_A92A_90675AC5FBCA_.wvu.PrintArea" localSheetId="7" hidden="1">'Associates (Half year)'!$A$1:$C$51</definedName>
    <definedName name="Z_26CEF2E8_D3C0_46EB_A92A_90675AC5FBCA_.wvu.PrintArea" localSheetId="5" hidden="1">'Digital Co (Half year)'!$A$1:$B$37</definedName>
    <definedName name="Z_26CEF2E8_D3C0_46EB_A92A_90675AC5FBCA_.wvu.PrintArea" localSheetId="6" hidden="1">'Group Enterprise (Half year)'!$A$1:$B$41</definedName>
    <definedName name="Z_26CEF2E8_D3C0_46EB_A92A_90675AC5FBCA_.wvu.PrintArea" localSheetId="0" hidden="1">'Group P&amp;L (Half year)'!$A$1:$C$52</definedName>
    <definedName name="Z_26CEF2E8_D3C0_46EB_A92A_90675AC5FBCA_.wvu.PrintArea" localSheetId="4" hidden="1">'NCS (Half year)'!$A$1:$B$42</definedName>
    <definedName name="Z_26CEF2E8_D3C0_46EB_A92A_90675AC5FBCA_.wvu.PrintArea" localSheetId="1" hidden="1">'Optus (A$) (Half Year)'!$A$1:$B$40</definedName>
    <definedName name="Z_26CEF2E8_D3C0_46EB_A92A_90675AC5FBCA_.wvu.PrintArea" localSheetId="3" hidden="1">'Singapore Consumer (Half year)'!$A$1:$B$48</definedName>
    <definedName name="Z_26CEF2E8_D3C0_46EB_A92A_90675AC5FBCA_.wvu.PrintArea" localSheetId="8" hidden="1">'Singapore drivers (Half year)'!$A$1:$C$40</definedName>
    <definedName name="Z_26CEF2E8_D3C0_46EB_A92A_90675AC5FBCA_.wvu.PrintArea" localSheetId="2" hidden="1">'Singtel Singapore (Half year)'!$A$1:$B$48</definedName>
    <definedName name="Z_26CEF2E8_D3C0_46EB_A92A_90675AC5FBCA_.wvu.Rows" localSheetId="7" hidden="1">'Associates (Half year)'!$12:$12,'Associates (Half year)'!$23:$23,'Associates (Half year)'!$34:$34,'Associates (Half year)'!$49:$49</definedName>
    <definedName name="Z_26CEF2E8_D3C0_46EB_A92A_90675AC5FBCA_.wvu.Rows" localSheetId="5" hidden="1">'Digital Co (Half year)'!$6:$6,'Digital Co (Half year)'!#REF!</definedName>
    <definedName name="Z_26CEF2E8_D3C0_46EB_A92A_90675AC5FBCA_.wvu.Rows" localSheetId="10" hidden="1">'Group Balance Sheet (Half year)'!$6:$6</definedName>
    <definedName name="Z_26CEF2E8_D3C0_46EB_A92A_90675AC5FBCA_.wvu.Rows" localSheetId="6" hidden="1">'Group Enterprise (Half year)'!$6:$6,'Group Enterprise (Half year)'!#REF!</definedName>
    <definedName name="Z_26CEF2E8_D3C0_46EB_A92A_90675AC5FBCA_.wvu.Rows" localSheetId="0" hidden="1">'Group P&amp;L (Half year)'!$6:$6</definedName>
    <definedName name="Z_26CEF2E8_D3C0_46EB_A92A_90675AC5FBCA_.wvu.Rows" localSheetId="4" hidden="1">'NCS (Half year)'!$6:$6,'NCS (Half year)'!#REF!</definedName>
    <definedName name="Z_26CEF2E8_D3C0_46EB_A92A_90675AC5FBCA_.wvu.Rows" localSheetId="1" hidden="1">'Optus (A$) (Half Year)'!$6:$6,'Optus (A$) (Half Year)'!#REF!</definedName>
    <definedName name="Z_26CEF2E8_D3C0_46EB_A92A_90675AC5FBCA_.wvu.Rows" localSheetId="3" hidden="1">'Singapore Consumer (Half year)'!$6:$6,'Singapore Consumer (Half year)'!$35:$35</definedName>
    <definedName name="Z_26CEF2E8_D3C0_46EB_A92A_90675AC5FBCA_.wvu.Rows" localSheetId="8" hidden="1">'Singapore drivers (Half year)'!#REF!,'Singapore drivers (Half year)'!$19:$19</definedName>
    <definedName name="Z_26CEF2E8_D3C0_46EB_A92A_90675AC5FBCA_.wvu.Rows" localSheetId="2" hidden="1">'Singtel Singapore (Half year)'!$6:$6,'Singtel Singapore (Half year)'!#REF!</definedName>
    <definedName name="zzzzz" localSheetId="1">#REF!</definedName>
    <definedName name="zzzzz" localSheetId="9">#REF!</definedName>
    <definedName name="zzzzz">#REF!</definedName>
  </definedNames>
  <calcPr calcId="191028" concurrentManualCount="8"/>
  <customWorkbookViews>
    <customWorkbookView name="Sylvia Kwan - Personal View" guid="{26CEF2E8-D3C0-46EB-A92A-90675AC5FBCA}" mergeInterval="0" personalView="1" maximized="1" xWindow="-8" yWindow="-8" windowWidth="1296" windowHeight="1000" tabRatio="85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81" l="1"/>
  <c r="G34" i="81"/>
  <c r="E36" i="81"/>
  <c r="E34" i="81"/>
  <c r="H25" i="44" l="1"/>
  <c r="F44" i="37"/>
  <c r="F42" i="37"/>
  <c r="D44" i="37"/>
  <c r="D42" i="37"/>
  <c r="F22" i="51"/>
  <c r="F21" i="51"/>
  <c r="K22" i="51"/>
  <c r="K21" i="51"/>
  <c r="E35" i="37"/>
  <c r="E34" i="37"/>
  <c r="E33" i="37"/>
  <c r="E32" i="37"/>
  <c r="J37" i="37"/>
  <c r="J35" i="37"/>
  <c r="J34" i="37"/>
  <c r="J44" i="37"/>
  <c r="J42" i="37"/>
  <c r="E44" i="37"/>
  <c r="E42" i="37"/>
  <c r="E25" i="76" l="1"/>
  <c r="E14" i="76"/>
  <c r="E14" i="77" l="1"/>
  <c r="G27" i="80" l="1"/>
  <c r="G24" i="80"/>
  <c r="G21" i="80"/>
  <c r="G18" i="80"/>
  <c r="G16" i="80"/>
  <c r="G14" i="80"/>
  <c r="D38" i="37"/>
  <c r="E22" i="51"/>
  <c r="E21" i="51"/>
  <c r="E20" i="51"/>
  <c r="E25" i="44"/>
  <c r="K25" i="44"/>
  <c r="C24" i="41"/>
  <c r="C25" i="41"/>
  <c r="C27" i="41"/>
  <c r="C28" i="41"/>
  <c r="C29" i="41"/>
  <c r="C34" i="41"/>
  <c r="C35" i="41"/>
  <c r="C10" i="39"/>
  <c r="C11" i="39"/>
  <c r="C12" i="39"/>
  <c r="C37" i="39"/>
  <c r="C38" i="39"/>
  <c r="C9" i="76"/>
  <c r="C10" i="76"/>
  <c r="E10" i="76"/>
  <c r="C11" i="76"/>
  <c r="E11" i="76"/>
  <c r="C12" i="76"/>
  <c r="C13" i="76"/>
  <c r="E13" i="76"/>
  <c r="C15" i="76"/>
  <c r="C16" i="76"/>
  <c r="E16" i="76"/>
  <c r="C20" i="76"/>
  <c r="E20" i="76"/>
  <c r="C21" i="76"/>
  <c r="E21" i="76"/>
  <c r="E22" i="76"/>
  <c r="C23" i="76"/>
  <c r="E23" i="76"/>
  <c r="C26" i="76"/>
  <c r="E26" i="76"/>
  <c r="C27" i="76"/>
  <c r="C28" i="76"/>
  <c r="C31" i="76"/>
  <c r="C32" i="76"/>
  <c r="E32" i="76"/>
  <c r="C35" i="76"/>
  <c r="E35" i="76"/>
  <c r="C37" i="76"/>
  <c r="E37" i="76"/>
  <c r="D16" i="37"/>
  <c r="D24" i="37"/>
  <c r="I31" i="37"/>
  <c r="I33" i="37"/>
  <c r="I35" i="37"/>
  <c r="I38" i="37"/>
</calcChain>
</file>

<file path=xl/sharedStrings.xml><?xml version="1.0" encoding="utf-8"?>
<sst xmlns="http://schemas.openxmlformats.org/spreadsheetml/2006/main" count="696" uniqueCount="289">
  <si>
    <t xml:space="preserve">Singapore Telecommunications Ltd </t>
  </si>
  <si>
    <t xml:space="preserve">GROUP </t>
  </si>
  <si>
    <t>FY2023/24</t>
  </si>
  <si>
    <t>FY2024/25</t>
  </si>
  <si>
    <t>S$ Million</t>
  </si>
  <si>
    <t>1H</t>
  </si>
  <si>
    <t>2H</t>
  </si>
  <si>
    <t>FY2022/23</t>
  </si>
  <si>
    <t>Income Statement</t>
  </si>
  <si>
    <t>Operating revenue</t>
  </si>
  <si>
    <t>Operating expenses</t>
  </si>
  <si>
    <t xml:space="preserve"> </t>
  </si>
  <si>
    <t xml:space="preserve">Other income </t>
  </si>
  <si>
    <t>EBITDA</t>
  </si>
  <si>
    <t>EBITDA margin (%)</t>
  </si>
  <si>
    <t>Share of associates' pre-tax profits</t>
  </si>
  <si>
    <t xml:space="preserve">EBITDA &amp; share of associates' pretax profits </t>
  </si>
  <si>
    <t>Depreciation</t>
  </si>
  <si>
    <t>Amortisation of intangibles</t>
  </si>
  <si>
    <t>Depreciation &amp; amortisation</t>
  </si>
  <si>
    <t xml:space="preserve">EBIT </t>
  </si>
  <si>
    <t>Net finance expense</t>
  </si>
  <si>
    <t xml:space="preserve">Profit before EI and tax </t>
  </si>
  <si>
    <t xml:space="preserve">Taxation </t>
  </si>
  <si>
    <t xml:space="preserve">Profit after tax </t>
  </si>
  <si>
    <t>Minority interests</t>
  </si>
  <si>
    <t>Underlying net profit</t>
  </si>
  <si>
    <t xml:space="preserve">Exceptional items (post-tax) </t>
  </si>
  <si>
    <t>Net profit/(loss)</t>
  </si>
  <si>
    <t>Group Operating Revenue Composition</t>
  </si>
  <si>
    <t xml:space="preserve">   Mobile service (includes international call revenue)</t>
  </si>
  <si>
    <t xml:space="preserve">  Sale of equipment</t>
  </si>
  <si>
    <t>Mobile</t>
  </si>
  <si>
    <t xml:space="preserve">Infocomm Technology ("ICT") </t>
  </si>
  <si>
    <t>Data and Internet</t>
  </si>
  <si>
    <t>Fixed voice</t>
  </si>
  <si>
    <t>Pay television</t>
  </si>
  <si>
    <t>Others</t>
  </si>
  <si>
    <t>Group Operating Expenses Composition</t>
  </si>
  <si>
    <r>
      <rPr>
        <sz val="14"/>
        <color rgb="FF000000"/>
        <rFont val="Arial"/>
        <family val="2"/>
      </rPr>
      <t xml:space="preserve">Selling and administrative </t>
    </r>
    <r>
      <rPr>
        <vertAlign val="superscript"/>
        <sz val="14"/>
        <color rgb="FF000000"/>
        <rFont val="Arial"/>
        <family val="2"/>
      </rPr>
      <t>(1)</t>
    </r>
  </si>
  <si>
    <r>
      <rPr>
        <sz val="14"/>
        <color rgb="FF000000"/>
        <rFont val="Arial"/>
        <family val="2"/>
      </rPr>
      <t xml:space="preserve">Traffic expense </t>
    </r>
    <r>
      <rPr>
        <vertAlign val="superscript"/>
        <sz val="14"/>
        <color rgb="FF000000"/>
        <rFont val="Arial"/>
        <family val="2"/>
      </rPr>
      <t>(2)</t>
    </r>
  </si>
  <si>
    <t>Staff costs</t>
  </si>
  <si>
    <r>
      <rPr>
        <sz val="14"/>
        <color rgb="FF000000"/>
        <rFont val="Arial"/>
        <family val="2"/>
      </rPr>
      <t xml:space="preserve">Cost of sales </t>
    </r>
    <r>
      <rPr>
        <vertAlign val="superscript"/>
        <sz val="14"/>
        <color rgb="FF000000"/>
        <rFont val="Arial"/>
        <family val="2"/>
      </rPr>
      <t>(2)(3)</t>
    </r>
  </si>
  <si>
    <t>Repair and maintenance</t>
  </si>
  <si>
    <t xml:space="preserve">(1) Selling and administrative expenses included utility charges of S$146 million (H2 FY2024: S$158 million) for the second half and S$300 million </t>
  </si>
  <si>
    <t xml:space="preserve">      (FY2024: S$294 million) for the year ended 31 March 2025.  </t>
  </si>
  <si>
    <t xml:space="preserve">(2) Comparatives have been restated. </t>
  </si>
  <si>
    <t>(3) Cost of sales included cost of goods sold and direct service costs such as costs of content and programming.</t>
  </si>
  <si>
    <t>Total</t>
  </si>
  <si>
    <t>*</t>
  </si>
  <si>
    <t>TOTAL OPTUS</t>
  </si>
  <si>
    <t xml:space="preserve"> FY2022/23</t>
  </si>
  <si>
    <t xml:space="preserve"> FY2023/24</t>
  </si>
  <si>
    <t>A$ Million</t>
  </si>
  <si>
    <t>EBITDA Margin (%)</t>
  </si>
  <si>
    <t>EBIT</t>
  </si>
  <si>
    <t> </t>
  </si>
  <si>
    <t>Total Optus Operating Revenue Composition</t>
  </si>
  <si>
    <t>Total Mobile Revenue</t>
  </si>
  <si>
    <t>Mobile service</t>
  </si>
  <si>
    <t>Equipment</t>
  </si>
  <si>
    <t>Total Home Revenue</t>
  </si>
  <si>
    <t xml:space="preserve">NBN Broadband </t>
  </si>
  <si>
    <t>Fixed Wireless Access ("FWA")</t>
  </si>
  <si>
    <r>
      <t xml:space="preserve">Others </t>
    </r>
    <r>
      <rPr>
        <i/>
        <vertAlign val="superscript"/>
        <sz val="14"/>
        <color theme="1"/>
        <rFont val="Arial"/>
        <family val="2"/>
      </rPr>
      <t>(1)</t>
    </r>
  </si>
  <si>
    <t>NBN migration and site preparation revenues</t>
  </si>
  <si>
    <t>-</t>
  </si>
  <si>
    <t xml:space="preserve">                   -</t>
  </si>
  <si>
    <t xml:space="preserve">                     -</t>
  </si>
  <si>
    <t>Total Wholesale, Fleet and Enterprise Fixed</t>
  </si>
  <si>
    <t>Total Optus Operating Expenses Composition</t>
  </si>
  <si>
    <t>Traffic expenses</t>
  </si>
  <si>
    <t>Cost of sales</t>
  </si>
  <si>
    <t>SINGTEL SINGAPORE</t>
  </si>
  <si>
    <r>
      <t>FY2022/23</t>
    </r>
    <r>
      <rPr>
        <b/>
        <vertAlign val="superscript"/>
        <sz val="14"/>
        <rFont val="Arial"/>
        <family val="2"/>
      </rPr>
      <t xml:space="preserve"> (1)</t>
    </r>
  </si>
  <si>
    <r>
      <rPr>
        <sz val="14"/>
        <color rgb="FF000000"/>
        <rFont val="Arial"/>
        <family val="2"/>
      </rPr>
      <t>Other income</t>
    </r>
    <r>
      <rPr>
        <vertAlign val="superscript"/>
        <sz val="14"/>
        <color rgb="FF000000"/>
        <rFont val="Arial"/>
        <family val="2"/>
      </rPr>
      <t xml:space="preserve"> (2)</t>
    </r>
  </si>
  <si>
    <t>Singtel Singapore Operating Revenue Composition</t>
  </si>
  <si>
    <t>Sale of equipment</t>
  </si>
  <si>
    <r>
      <rPr>
        <sz val="14"/>
        <color rgb="FF000000"/>
        <rFont val="Arial"/>
        <family val="2"/>
      </rPr>
      <t>Data and Internet</t>
    </r>
    <r>
      <rPr>
        <vertAlign val="superscript"/>
        <sz val="14"/>
        <color rgb="FF000000"/>
        <rFont val="Arial"/>
        <family val="2"/>
      </rPr>
      <t xml:space="preserve"> (3)</t>
    </r>
  </si>
  <si>
    <r>
      <t>ICT</t>
    </r>
    <r>
      <rPr>
        <vertAlign val="superscript"/>
        <sz val="14"/>
        <color theme="1"/>
        <rFont val="Arial"/>
        <family val="2"/>
      </rPr>
      <t xml:space="preserve"> (4)</t>
    </r>
  </si>
  <si>
    <r>
      <t xml:space="preserve">Pay TV </t>
    </r>
    <r>
      <rPr>
        <vertAlign val="superscript"/>
        <sz val="14"/>
        <color theme="1"/>
        <rFont val="Arial"/>
        <family val="2"/>
      </rPr>
      <t>(5)</t>
    </r>
  </si>
  <si>
    <r>
      <t>Others</t>
    </r>
    <r>
      <rPr>
        <vertAlign val="superscript"/>
        <sz val="14"/>
        <color theme="1"/>
        <rFont val="Arial"/>
        <family val="2"/>
      </rPr>
      <t xml:space="preserve"> (6)</t>
    </r>
  </si>
  <si>
    <t>Singtel Singapore Operating Expenses Composition</t>
  </si>
  <si>
    <r>
      <t>Selling and administrative</t>
    </r>
    <r>
      <rPr>
        <vertAlign val="superscript"/>
        <sz val="14"/>
        <rFont val="Arial"/>
        <family val="2"/>
      </rPr>
      <t xml:space="preserve"> (7)</t>
    </r>
  </si>
  <si>
    <r>
      <rPr>
        <sz val="14"/>
        <color rgb="FF000000"/>
        <rFont val="Arial"/>
        <family val="2"/>
      </rPr>
      <t>Repair and maintenance</t>
    </r>
    <r>
      <rPr>
        <vertAlign val="superscript"/>
        <sz val="14"/>
        <color rgb="FF000000"/>
        <rFont val="Arial"/>
        <family val="2"/>
      </rPr>
      <t xml:space="preserve"> (8)</t>
    </r>
  </si>
  <si>
    <t>(1) The figures above are before elimination of intercompany transactions with NCS and Trustwave.</t>
  </si>
  <si>
    <t xml:space="preserve">(2) Included trade foreign currency exchange differences, rental income, gain/loss on disposal of scrap copper and property, plant and equipment, and other miscellaneous recoveries. </t>
  </si>
  <si>
    <t xml:space="preserve">     The net trade foreign exchange gains amounted to S$5 million (H2 FY2024: S$1 million of loss) for the second half year and S$3 million (FY2024: S$0.4 million of loss) </t>
  </si>
  <si>
    <t xml:space="preserve">     for the year ended 31 March 2025.</t>
  </si>
  <si>
    <t xml:space="preserve">(3) Included revenues from home equipment sales, local leased circuits, fixed broadband and Singtel Internet exchange. </t>
  </si>
  <si>
    <t>(4) Included revenues from managed services, data centres and colocation.</t>
  </si>
  <si>
    <t>(5) Included TV equipment sales.</t>
  </si>
  <si>
    <t xml:space="preserve">(6) Included revenues from mobile digital business, mobile network cabling works and facility rentals.  </t>
  </si>
  <si>
    <t xml:space="preserve">(7) Selling and administrative expenses included utility charges of S$38 million (H2 FY2024: S$41 million) for the second half year and S$79 million (FY2024: S$75 million) </t>
  </si>
  <si>
    <t xml:space="preserve">      for the year ended 31 March 2025.</t>
  </si>
  <si>
    <t>(8) The increase reflected higher software cost from IT investments.</t>
  </si>
  <si>
    <t>SINGAPORE CONSUMER</t>
  </si>
  <si>
    <t>YTD</t>
  </si>
  <si>
    <r>
      <t xml:space="preserve">Other income </t>
    </r>
    <r>
      <rPr>
        <vertAlign val="superscript"/>
        <sz val="14"/>
        <color theme="1"/>
        <rFont val="Arial"/>
        <family val="2"/>
      </rPr>
      <t xml:space="preserve"> (2)</t>
    </r>
  </si>
  <si>
    <t>Singapore Consumer Operating Revenue Composition</t>
  </si>
  <si>
    <r>
      <t xml:space="preserve">Leasing revenue </t>
    </r>
    <r>
      <rPr>
        <i/>
        <vertAlign val="superscript"/>
        <sz val="14"/>
        <color theme="1"/>
        <rFont val="Arial"/>
        <family val="2"/>
      </rPr>
      <t>(3)</t>
    </r>
  </si>
  <si>
    <r>
      <t xml:space="preserve">Fixed broadband </t>
    </r>
    <r>
      <rPr>
        <vertAlign val="superscript"/>
        <sz val="14"/>
        <color theme="1"/>
        <rFont val="Arial"/>
        <family val="2"/>
      </rPr>
      <t xml:space="preserve"> (4)</t>
    </r>
  </si>
  <si>
    <t>Residential Pay TV</t>
  </si>
  <si>
    <r>
      <t>Others</t>
    </r>
    <r>
      <rPr>
        <vertAlign val="superscript"/>
        <sz val="14"/>
        <color theme="1"/>
        <rFont val="Arial"/>
        <family val="2"/>
      </rPr>
      <t xml:space="preserve"> (5)</t>
    </r>
  </si>
  <si>
    <t>Singapore Consumer Operating Expenses Composition</t>
  </si>
  <si>
    <r>
      <t>Selling and administrative</t>
    </r>
    <r>
      <rPr>
        <vertAlign val="superscript"/>
        <sz val="14"/>
        <rFont val="Arial"/>
        <family val="2"/>
      </rPr>
      <t xml:space="preserve"> (6)</t>
    </r>
  </si>
  <si>
    <t xml:space="preserve">"*" denotes less than +/- S$0.5 million </t>
  </si>
  <si>
    <t>(1) Certain comparatives have been reclassified to be consistent with the current periods.</t>
  </si>
  <si>
    <t xml:space="preserve">     The net trade foreign exchange gains amounted to S$3 million (H2 FY2022: S$0.1 million of loss) for the second half year and S$1 million (FY2022: S$1 million of gain) for the year ended 31 March 2023.</t>
  </si>
  <si>
    <t>(3) Comprised revenue from lease of handsets to mobile customers under two-year contracts.</t>
  </si>
  <si>
    <t>(4) Included sale of home equipment.</t>
  </si>
  <si>
    <t>(5) Included mobile digital business, energy reselling, and revenue from mobile network cabling works and projects.</t>
  </si>
  <si>
    <t>(6) Selling and administrative expenses included utility charges of S$17 million (H2 FY2022: S$13 million) for the for the second half year and S$32 million (FY2022: S$23 million) for the year ended 31 March 2023.</t>
  </si>
  <si>
    <t xml:space="preserve">Digital InfraCo </t>
  </si>
  <si>
    <r>
      <t xml:space="preserve">Other income </t>
    </r>
    <r>
      <rPr>
        <vertAlign val="superscript"/>
        <sz val="14"/>
        <color theme="1"/>
        <rFont val="Arial"/>
        <family val="2"/>
      </rPr>
      <t>(2)</t>
    </r>
  </si>
  <si>
    <t>Nxera</t>
  </si>
  <si>
    <r>
      <t xml:space="preserve">Operating revenue </t>
    </r>
    <r>
      <rPr>
        <vertAlign val="superscript"/>
        <sz val="14"/>
        <color rgb="FF000000"/>
        <rFont val="Arial"/>
        <family val="2"/>
      </rPr>
      <t>(3)</t>
    </r>
  </si>
  <si>
    <t>Digital InfraCo Operating Revenue Composition</t>
  </si>
  <si>
    <r>
      <t xml:space="preserve">Data centre </t>
    </r>
    <r>
      <rPr>
        <vertAlign val="superscript"/>
        <sz val="14"/>
        <color rgb="FF000000"/>
        <rFont val="Arial"/>
        <family val="2"/>
      </rPr>
      <t>(3)</t>
    </r>
  </si>
  <si>
    <t>Satellite and Paragon platform</t>
  </si>
  <si>
    <t>Digital InfraCo Operating Expenses Composition</t>
  </si>
  <si>
    <t>Utilities</t>
  </si>
  <si>
    <t>Selling, administrative and property related expenses</t>
  </si>
  <si>
    <t xml:space="preserve">(1) The figures above are before elimination of intercompany transactions with Singtel Singapore and NCS. </t>
  </si>
  <si>
    <t xml:space="preserve">(2) Included other miscellaneous recoveries and trade foreign exchange differences. The net trade foreign </t>
  </si>
  <si>
    <t xml:space="preserve">     exchange gain amounted to S$0.1 million (H2 FY2024: S$0.6 million of loss) for the second half year and </t>
  </si>
  <si>
    <t xml:space="preserve">     S$0.3 million (FY2024: S$0.1 million of loss) for the year ended 31 March 2025. The increase was mainly </t>
  </si>
  <si>
    <t xml:space="preserve">     due to a one-off variation fee received from a satellite vendor.</t>
  </si>
  <si>
    <t>(3) Included revenue from utilities pass-through.  </t>
  </si>
  <si>
    <t>GROUP ENTERPRISE</t>
  </si>
  <si>
    <r>
      <t>Other income</t>
    </r>
    <r>
      <rPr>
        <vertAlign val="superscript"/>
        <sz val="14"/>
        <color theme="1"/>
        <rFont val="Arial"/>
        <family val="2"/>
      </rPr>
      <t xml:space="preserve"> (2)</t>
    </r>
  </si>
  <si>
    <t>Group Enterprise Operating Revenue Composition</t>
  </si>
  <si>
    <r>
      <t xml:space="preserve">Managed Services </t>
    </r>
    <r>
      <rPr>
        <vertAlign val="superscript"/>
        <sz val="14"/>
        <color theme="1"/>
        <rFont val="Arial"/>
        <family val="2"/>
      </rPr>
      <t>(3)</t>
    </r>
  </si>
  <si>
    <t>Cyber Security</t>
  </si>
  <si>
    <t>ICT</t>
  </si>
  <si>
    <t>ICT revenue as % of total revenue</t>
  </si>
  <si>
    <r>
      <t xml:space="preserve">Data and Internet </t>
    </r>
    <r>
      <rPr>
        <vertAlign val="superscript"/>
        <sz val="14"/>
        <color theme="1"/>
        <rFont val="Arial"/>
        <family val="2"/>
      </rPr>
      <t>(4)</t>
    </r>
  </si>
  <si>
    <r>
      <t xml:space="preserve">Others </t>
    </r>
    <r>
      <rPr>
        <vertAlign val="superscript"/>
        <sz val="14"/>
        <color theme="1"/>
        <rFont val="Arial"/>
        <family val="2"/>
      </rPr>
      <t>(5)</t>
    </r>
  </si>
  <si>
    <t>Carriage</t>
  </si>
  <si>
    <t>Group Enterprise Operating Expenses Composition</t>
  </si>
  <si>
    <r>
      <t xml:space="preserve">Selling and administrative </t>
    </r>
    <r>
      <rPr>
        <vertAlign val="superscript"/>
        <sz val="14"/>
        <color theme="1"/>
        <rFont val="Arial"/>
        <family val="2"/>
      </rPr>
      <t>(6)</t>
    </r>
  </si>
  <si>
    <t>Repair and maintenance and Others</t>
  </si>
  <si>
    <t xml:space="preserve">(2) Included trade foreign exchange differences, rental income, gain/loss on disposal of scrap copper, property, plant and equipment, and other miscellaneous recoveries. </t>
  </si>
  <si>
    <t xml:space="preserve">     The net trade foreign exchange losses amounted to S$3 million (H2 FY2022: S$1 million) for the second half year and S$5 million (FY2022: S$1 million) for the year ended 31 March 2023.</t>
  </si>
  <si>
    <t xml:space="preserve">(3) Included data centres and colocation services, managed and network services, and value-added reselling and services. </t>
  </si>
  <si>
    <t>(4) Included local leased circuits, international leased circuits, fixed broadband, Singtel Internet exchange and satellite.</t>
  </si>
  <si>
    <t>(5) Included pay TV, facility rentals and other miscellaneous revenue.</t>
  </si>
  <si>
    <t xml:space="preserve">(6) Selling and administrative expenses included utility charges of S$53 million (H2 FY2022: S$38 million) for the second half year and S$107 million (FY2022: $67 million) </t>
  </si>
  <si>
    <t xml:space="preserve">     for the year ended 31 March 2023.</t>
  </si>
  <si>
    <t>NCS</t>
  </si>
  <si>
    <r>
      <t xml:space="preserve">Other (expenses)/income </t>
    </r>
    <r>
      <rPr>
        <vertAlign val="superscript"/>
        <sz val="14"/>
        <color theme="1"/>
        <rFont val="Arial"/>
        <family val="2"/>
      </rPr>
      <t>(2)</t>
    </r>
  </si>
  <si>
    <r>
      <t xml:space="preserve">Depreciation &amp; amortisation </t>
    </r>
    <r>
      <rPr>
        <vertAlign val="superscript"/>
        <sz val="14"/>
        <rFont val="Arial"/>
        <family val="2"/>
      </rPr>
      <t>(3)</t>
    </r>
  </si>
  <si>
    <r>
      <t xml:space="preserve">Operating revenue by SBG </t>
    </r>
    <r>
      <rPr>
        <b/>
        <u/>
        <vertAlign val="superscript"/>
        <sz val="14"/>
        <rFont val="Arial"/>
        <family val="2"/>
      </rPr>
      <t>(4)</t>
    </r>
  </si>
  <si>
    <t>Gov+</t>
  </si>
  <si>
    <t>Enterprise</t>
  </si>
  <si>
    <t>Telco+</t>
  </si>
  <si>
    <r>
      <rPr>
        <b/>
        <u/>
        <sz val="14"/>
        <color rgb="FF000000"/>
        <rFont val="Arial"/>
        <family val="2"/>
      </rPr>
      <t xml:space="preserve">Operating revenue by line of business </t>
    </r>
    <r>
      <rPr>
        <b/>
        <u/>
        <vertAlign val="superscript"/>
        <sz val="14"/>
        <color rgb="FF000000"/>
        <rFont val="Arial"/>
        <family val="2"/>
      </rPr>
      <t>(5)</t>
    </r>
  </si>
  <si>
    <t>Applications</t>
  </si>
  <si>
    <t>Infrastructure</t>
  </si>
  <si>
    <t xml:space="preserve">Cyber </t>
  </si>
  <si>
    <t xml:space="preserve">Engineering </t>
  </si>
  <si>
    <t>Digital revenue as % of ICT revenue</t>
  </si>
  <si>
    <r>
      <t xml:space="preserve">Digital, Data, Cloud, Platforms &amp; Cyber as % of total operating revenue </t>
    </r>
    <r>
      <rPr>
        <vertAlign val="superscript"/>
        <sz val="14"/>
        <color rgb="FF000000"/>
        <rFont val="Arial"/>
        <family val="2"/>
      </rPr>
      <t>(6)</t>
    </r>
  </si>
  <si>
    <t>Operating Expenses Composition</t>
  </si>
  <si>
    <t>Selling and administrative</t>
  </si>
  <si>
    <t>Repair, maintenance and others</t>
  </si>
  <si>
    <t xml:space="preserve">(1) The above results are based on the standalone results of NCS group, which include revenue earned as a vendor to other entities in the Singtel Group. </t>
  </si>
  <si>
    <t xml:space="preserve">      Certain products and services purchased by these Singtel entities from NCS are subsequently sold to third parties. </t>
  </si>
  <si>
    <r>
      <t xml:space="preserve">(2) </t>
    </r>
    <r>
      <rPr>
        <sz val="14"/>
        <color rgb="FF000000"/>
        <rFont val="Arial"/>
        <family val="2"/>
      </rPr>
      <t xml:space="preserve">Includes trade foreign exchange differences, rental income, gain/loss on disposal of property, plant and equipment, and other miscellaneous recoveries. </t>
    </r>
  </si>
  <si>
    <t xml:space="preserve">      The net trade foreign exchange loss amounted to S$2 million (H2 FY2024: S$1 million of gain) for the second half year and net trade foreign exchange </t>
  </si>
  <si>
    <t xml:space="preserve">       gain of S$0.3 million (FY2024: S$2 million of loss) for the year ended 31 March 2025.</t>
  </si>
  <si>
    <t xml:space="preserve">(3) Includes amortisation of acquired intangibles of S$6 million (H2 FY2024: S$7 million) for the second half year and S$13 million (FY2024: S$15 million) </t>
  </si>
  <si>
    <r>
      <t>(4)</t>
    </r>
    <r>
      <rPr>
        <sz val="14"/>
        <color rgb="FF000000"/>
        <rFont val="Arial"/>
        <family val="2"/>
      </rPr>
      <t> SBG refers to Strategic Business Group. Gov+, Enterprise and Telco+ focus on growing NCS’ business in:</t>
    </r>
  </si>
  <si>
    <t xml:space="preserve">     (a)   Public service, Defence and Homeland Security;</t>
  </si>
  <si>
    <r>
      <t xml:space="preserve">     (b)</t>
    </r>
    <r>
      <rPr>
        <sz val="14"/>
        <color rgb="FF000000"/>
        <rFont val="Arial"/>
        <family val="2"/>
      </rPr>
      <t>   Healthcare, Transport, Financial, Industrial and Commercial sectors; and</t>
    </r>
  </si>
  <si>
    <r>
      <t xml:space="preserve">     (c)</t>
    </r>
    <r>
      <rPr>
        <sz val="14"/>
        <color rgb="FF000000"/>
        <rFont val="Arial"/>
        <family val="2"/>
      </rPr>
      <t>   Communications, Media and Technology sectors respectively.</t>
    </r>
  </si>
  <si>
    <t xml:space="preserve">(5) Applications comprise business application implementation and management , SAP and Microsoft solutions, enterprise application delivery, operational excellence and testing services. </t>
  </si>
  <si>
    <t xml:space="preserve">      Infrastructure comprises enterprise infrastructure management services including architecture, service management, systems and database administration, </t>
  </si>
  <si>
    <t xml:space="preserve">      network integration and management, data centre and business continuity planning, end user computing and service desk operation. Cyber comprises security architecture, </t>
  </si>
  <si>
    <t xml:space="preserve">      threat monitoring, access management, end point and network security. Engineering comprises implementation and management of telecommunications infrastructure, </t>
  </si>
  <si>
    <t xml:space="preserve">      aviation communications, intelligent building systems, secured communications, video technology and analytics, sensors, internet of things (IoT) solutions as well as command and control systems.</t>
  </si>
  <si>
    <t xml:space="preserve">(6) Refers to capabilities in Digital (Digital transformation and digital experience), Data (Data and AI strategy, big data and AI/ML application), Cloud (Cloud strategy and cloud innovation), </t>
  </si>
  <si>
    <t xml:space="preserve">     Platforms (Gen AI, IoT, robotics automation, video intelligence) and Cyber. </t>
  </si>
  <si>
    <t>Singapore Telecommunications Ltd</t>
  </si>
  <si>
    <t xml:space="preserve">ASSOCIATES </t>
  </si>
  <si>
    <t>Associates pre-tax profit contribution (S$ million)</t>
  </si>
  <si>
    <t>Telkomsel</t>
  </si>
  <si>
    <t>AIS</t>
  </si>
  <si>
    <r>
      <t xml:space="preserve">Airtel </t>
    </r>
    <r>
      <rPr>
        <vertAlign val="superscript"/>
        <sz val="14"/>
        <rFont val="Arial"/>
        <family val="2"/>
      </rPr>
      <t>(1)</t>
    </r>
  </si>
  <si>
    <t>Globe</t>
  </si>
  <si>
    <t>PBTL</t>
  </si>
  <si>
    <t>Intouch</t>
  </si>
  <si>
    <t>Regional associates subtotal</t>
  </si>
  <si>
    <t xml:space="preserve">Total </t>
  </si>
  <si>
    <t>Associates post-tax profit contribution (S$ million)</t>
  </si>
  <si>
    <t xml:space="preserve">AIS </t>
  </si>
  <si>
    <t xml:space="preserve">Regional associates subtotal </t>
  </si>
  <si>
    <t>Associates Dividends (S$ million)</t>
  </si>
  <si>
    <t>Associates mobile subs ('000)</t>
  </si>
  <si>
    <t>Airtel</t>
  </si>
  <si>
    <t>- India</t>
  </si>
  <si>
    <t>- Africa</t>
  </si>
  <si>
    <r>
      <t xml:space="preserve">- South Asia </t>
    </r>
    <r>
      <rPr>
        <i/>
        <vertAlign val="superscript"/>
        <sz val="14"/>
        <rFont val="Arial"/>
        <family val="2"/>
      </rPr>
      <t>(2)</t>
    </r>
  </si>
  <si>
    <t>(1) Includes Bharti Telecom Ltd</t>
  </si>
  <si>
    <t xml:space="preserve">(2) Airtel sold its wholly-owned subsidiary in Sri Lanka in June 2024.  </t>
  </si>
  <si>
    <t>Singapore Telecommunications Ltd And Subsidiary Companies</t>
  </si>
  <si>
    <t>SINGAPORE PRODUCT INFORMATION</t>
  </si>
  <si>
    <t xml:space="preserve">Mobile </t>
  </si>
  <si>
    <t>Number of mobile subscribers (000s)</t>
  </si>
  <si>
    <t>- Prepaid</t>
  </si>
  <si>
    <t>- Postpaid</t>
  </si>
  <si>
    <t xml:space="preserve"> Total</t>
  </si>
  <si>
    <r>
      <rPr>
        <b/>
        <sz val="14"/>
        <color rgb="FF000000"/>
        <rFont val="Arial"/>
        <family val="2"/>
      </rPr>
      <t xml:space="preserve">Mobile ARPU (S$) </t>
    </r>
    <r>
      <rPr>
        <b/>
        <vertAlign val="superscript"/>
        <sz val="14"/>
        <color rgb="FF000000"/>
        <rFont val="Arial"/>
        <family val="2"/>
      </rPr>
      <t>(1)(2)</t>
    </r>
  </si>
  <si>
    <t>Blended</t>
  </si>
  <si>
    <t>- Postpaid (pre SFRS(I) 15 basis)</t>
  </si>
  <si>
    <t>- non-SMS data</t>
  </si>
  <si>
    <r>
      <rPr>
        <sz val="14"/>
        <color rgb="FF000000"/>
        <rFont val="Arial"/>
        <family val="2"/>
      </rPr>
      <t xml:space="preserve">Data usage (GB per month) </t>
    </r>
    <r>
      <rPr>
        <vertAlign val="superscript"/>
        <sz val="14"/>
        <color rgb="FF000000"/>
        <rFont val="Arial"/>
        <family val="2"/>
      </rPr>
      <t>(3)(4)</t>
    </r>
  </si>
  <si>
    <r>
      <rPr>
        <sz val="14"/>
        <color rgb="FF000000"/>
        <rFont val="Arial"/>
        <family val="2"/>
      </rPr>
      <t xml:space="preserve">Postpaid external churn per month </t>
    </r>
    <r>
      <rPr>
        <vertAlign val="superscript"/>
        <sz val="14"/>
        <color rgb="FF000000"/>
        <rFont val="Arial"/>
        <family val="2"/>
      </rPr>
      <t>(5)</t>
    </r>
  </si>
  <si>
    <r>
      <rPr>
        <sz val="14"/>
        <color rgb="FF000000"/>
        <rFont val="Arial"/>
        <family val="2"/>
      </rPr>
      <t>Mobile customer market share</t>
    </r>
    <r>
      <rPr>
        <vertAlign val="superscript"/>
        <sz val="14"/>
        <color rgb="FF000000"/>
        <rFont val="Arial"/>
        <family val="2"/>
      </rPr>
      <t xml:space="preserve"> (6)</t>
    </r>
  </si>
  <si>
    <t>Fixed broadband</t>
  </si>
  <si>
    <t>Fixed Broadband lines ('000)</t>
  </si>
  <si>
    <t>Pay TV</t>
  </si>
  <si>
    <t xml:space="preserve">Average revenue per residential TV </t>
  </si>
  <si>
    <t xml:space="preserve">  customer per month (S$ per month) </t>
  </si>
  <si>
    <t>(1) Based on average number of subscribers, calculated as the simple average of opening and closing number of subscribers.</t>
  </si>
  <si>
    <t>(2) Average Revenue Per User (ARPU) includes revenue earned from international telephone calls and excludes wholesale. For prepaid, ARPU is computed net of sales discounts.</t>
  </si>
  <si>
    <t>(3) Data usage of postpaid smartphone customers and excludes wholesale.</t>
  </si>
  <si>
    <t>(4) Comparatives have been restated. </t>
  </si>
  <si>
    <t xml:space="preserve">(5) Calculated by expressing the number of postpaid subscribers who deactivate or disconnect their service (both voluntary and the Company’s initiated churn) as a </t>
  </si>
  <si>
    <t xml:space="preserve">     percentage of average number of subscribers.</t>
  </si>
  <si>
    <t>(6) The mobile customer market share data as at 31 March 2025 was based on management’s estimates.</t>
  </si>
  <si>
    <t>OPTUS PRODUCT INFORMATION</t>
  </si>
  <si>
    <t>Optus Mobile Revenue (A$m)</t>
  </si>
  <si>
    <t>Optus Mobile Service Revenue (A$m)</t>
  </si>
  <si>
    <r>
      <t xml:space="preserve">Mobile customers (000s) </t>
    </r>
    <r>
      <rPr>
        <b/>
        <vertAlign val="superscript"/>
        <sz val="14"/>
        <rFont val="Arial"/>
        <family val="2"/>
      </rPr>
      <t>(1)</t>
    </r>
  </si>
  <si>
    <t xml:space="preserve">Prepaid </t>
  </si>
  <si>
    <t>Excluding transfer of Circles' customers</t>
  </si>
  <si>
    <t xml:space="preserve">Postpaid </t>
  </si>
  <si>
    <r>
      <t xml:space="preserve">Connected Devices </t>
    </r>
    <r>
      <rPr>
        <vertAlign val="superscript"/>
        <sz val="14"/>
        <rFont val="Arial"/>
        <family val="2"/>
      </rPr>
      <t>(2)</t>
    </r>
  </si>
  <si>
    <r>
      <t>Mobile ARPUs (A$)</t>
    </r>
    <r>
      <rPr>
        <b/>
        <vertAlign val="superscript"/>
        <sz val="14"/>
        <rFont val="Arial"/>
        <family val="2"/>
      </rPr>
      <t xml:space="preserve"> (1)(3)</t>
    </r>
  </si>
  <si>
    <t>Postpaid</t>
  </si>
  <si>
    <r>
      <t xml:space="preserve">Branded Postpaid </t>
    </r>
    <r>
      <rPr>
        <i/>
        <vertAlign val="superscript"/>
        <sz val="14"/>
        <color rgb="FF000000"/>
        <rFont val="Calibri"/>
        <family val="2"/>
      </rPr>
      <t>(4)</t>
    </r>
  </si>
  <si>
    <t xml:space="preserve">Blended </t>
  </si>
  <si>
    <r>
      <t>Data Usage (GB per month)</t>
    </r>
    <r>
      <rPr>
        <b/>
        <vertAlign val="superscript"/>
        <sz val="14"/>
        <rFont val="Arial"/>
        <family val="2"/>
      </rPr>
      <t xml:space="preserve"> (5)</t>
    </r>
  </si>
  <si>
    <r>
      <t>Mobile Customer Market Share</t>
    </r>
    <r>
      <rPr>
        <b/>
        <vertAlign val="superscript"/>
        <sz val="14"/>
        <rFont val="Arial"/>
        <family val="2"/>
      </rPr>
      <t xml:space="preserve"> (6)</t>
    </r>
  </si>
  <si>
    <r>
      <t>Retail Postpaid Churn Rate per Month</t>
    </r>
    <r>
      <rPr>
        <b/>
        <vertAlign val="superscript"/>
        <sz val="14"/>
        <rFont val="Arial"/>
        <family val="2"/>
      </rPr>
      <t xml:space="preserve"> (7)</t>
    </r>
  </si>
  <si>
    <r>
      <t xml:space="preserve">Home Customers (000s) </t>
    </r>
    <r>
      <rPr>
        <b/>
        <vertAlign val="superscript"/>
        <sz val="14"/>
        <rFont val="Arial"/>
        <family val="2"/>
      </rPr>
      <t>(8)</t>
    </r>
  </si>
  <si>
    <t>NBN</t>
  </si>
  <si>
    <t>Fixed Wireless Access (FWA)</t>
  </si>
  <si>
    <t>(1) Approximately 171,000 customers have been transferred from postpaid to prepaid following the acquisition of customer base of a MVNO, Circles.Life, in February 2025.</t>
  </si>
  <si>
    <t xml:space="preserve">(2) Defined as data-only SIMs and include customers on both prepaid and postpaid plans. </t>
  </si>
  <si>
    <t xml:space="preserve">(3) Based on average number of customers, calculated as the simple average of opening and closing number of customers. </t>
  </si>
  <si>
    <t>(4) Excludes Wholesale MVNOs.</t>
  </si>
  <si>
    <t>(5) Based on postpaid handset monthly usage and includes Wholesale and amaysim.</t>
  </si>
  <si>
    <t xml:space="preserve">(6) Based on latest available market share either as at the end of June or December. </t>
  </si>
  <si>
    <t>(7) Churn calculation excludes customers transferring from postpaid to prepaid.</t>
  </si>
  <si>
    <t>GROUP</t>
  </si>
  <si>
    <t>Balance Sheet</t>
  </si>
  <si>
    <t>Current assets (excluding cash)</t>
  </si>
  <si>
    <t>Non-current assets</t>
  </si>
  <si>
    <t>Total assets</t>
  </si>
  <si>
    <t>Current liabilities</t>
  </si>
  <si>
    <t>Non-current liabilities</t>
  </si>
  <si>
    <t>Total liabilities</t>
  </si>
  <si>
    <t>Net assets</t>
  </si>
  <si>
    <t>Share capital</t>
  </si>
  <si>
    <t>Retained earnings</t>
  </si>
  <si>
    <t>Currency translation reserve (loss)</t>
  </si>
  <si>
    <t>Other reserves</t>
  </si>
  <si>
    <t>Equity attributable to shareholders</t>
  </si>
  <si>
    <t>Perpetual securities</t>
  </si>
  <si>
    <t>Minority interest</t>
  </si>
  <si>
    <t>`</t>
  </si>
  <si>
    <r>
      <t xml:space="preserve">Selling and administrative </t>
    </r>
    <r>
      <rPr>
        <vertAlign val="superscript"/>
        <sz val="14"/>
        <color rgb="FF000000"/>
        <rFont val="Arial"/>
        <family val="2"/>
      </rPr>
      <t>(1)</t>
    </r>
  </si>
  <si>
    <r>
      <t xml:space="preserve">Staff costs </t>
    </r>
    <r>
      <rPr>
        <vertAlign val="superscript"/>
        <sz val="14"/>
        <rFont val="Arial"/>
        <family val="2"/>
      </rPr>
      <t>(7)</t>
    </r>
  </si>
  <si>
    <t>(7) Excludes staff under contract with less than one year and external contractors.</t>
  </si>
  <si>
    <r>
      <t xml:space="preserve">Intouch </t>
    </r>
    <r>
      <rPr>
        <vertAlign val="superscript"/>
        <sz val="14"/>
        <rFont val="Arial"/>
        <family val="2"/>
      </rPr>
      <t>(2)</t>
    </r>
  </si>
  <si>
    <t>(3) As at 31 March 2025, Singtel held an equity interest of 21.3% (31 March 2024: 24.99%) in Intouch, which had an
equity interest of 40.4% in AIS.</t>
  </si>
  <si>
    <t>Blended home ARPU (A$)</t>
  </si>
  <si>
    <t>(8) Referred to retail customers who took up broadband (including fixed/4G/5G Internet) and/or voice.</t>
  </si>
  <si>
    <t>(1) Comprised cash and bank balances and fixed deposits (including those maturing after three months).</t>
  </si>
  <si>
    <t>Total equity</t>
  </si>
  <si>
    <r>
      <t xml:space="preserve">Cash and cash equivalents </t>
    </r>
    <r>
      <rPr>
        <vertAlign val="superscript"/>
        <sz val="14"/>
        <rFont val="Arial"/>
        <family val="2"/>
      </rPr>
      <t>(1)</t>
    </r>
  </si>
  <si>
    <t xml:space="preserve">     and A$142 million (FY2024: $156 million) for the year ended 31 March 2025.</t>
  </si>
  <si>
    <t>(1) Comprised revenue from subscription-based TV services.</t>
  </si>
  <si>
    <r>
      <t xml:space="preserve">Cost of sales </t>
    </r>
    <r>
      <rPr>
        <vertAlign val="superscript"/>
        <sz val="14"/>
        <rFont val="Arial"/>
        <family val="2"/>
      </rPr>
      <t>(3)</t>
    </r>
  </si>
  <si>
    <r>
      <t>Traffic expenses</t>
    </r>
    <r>
      <rPr>
        <vertAlign val="superscript"/>
        <sz val="14"/>
        <rFont val="Arial"/>
        <family val="2"/>
      </rPr>
      <t xml:space="preserve"> (3)</t>
    </r>
  </si>
  <si>
    <r>
      <t>(2)</t>
    </r>
    <r>
      <rPr>
        <sz val="14"/>
        <rFont val="Times New Roman"/>
        <family val="1"/>
      </rPr>
      <t> </t>
    </r>
    <r>
      <rPr>
        <sz val="14"/>
        <rFont val="Arial"/>
        <family val="2"/>
      </rPr>
      <t xml:space="preserve">Selling and administrative expenses included utility charges of A$71 million (H2 FY2024: A$81 million) for the second half year </t>
    </r>
  </si>
  <si>
    <r>
      <t>(3)</t>
    </r>
    <r>
      <rPr>
        <sz val="14"/>
        <rFont val="Times New Roman"/>
        <family val="1"/>
      </rPr>
      <t> </t>
    </r>
    <r>
      <rPr>
        <sz val="14"/>
        <rFont val="Arial"/>
        <family val="2"/>
      </rPr>
      <t>Comparatives have been restated.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</si>
</sst>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_);_(@_)"/>
    <numFmt numFmtId="168" formatCode="_-* #,##0.0_-;\-* #,##0.0_-;_-* &quot;-&quot;??_-;_-@_-"/>
    <numFmt numFmtId="169" formatCode="_(* #,##0.0_);_(* \(#,##0.0\);_(* &quot;-&quot;_);_(@_)"/>
    <numFmt numFmtId="170" formatCode="_(* #,##0_);_(* \(#,##0\);_(* &quot;-&quot;??_);_(@_)"/>
    <numFmt numFmtId="171" formatCode="0.000"/>
    <numFmt numFmtId="172" formatCode="0.0%"/>
    <numFmt numFmtId="173" formatCode="_(* #,##0.0_);_(* \(#,##0.0\);_(* &quot;-&quot;??_);_(@_)"/>
    <numFmt numFmtId="174" formatCode="0.0"/>
    <numFmt numFmtId="175" formatCode="_(* #,##0.000_);_(* \(#,##0.000\);_(* &quot;-&quot;??_);_(@_)"/>
    <numFmt numFmtId="176" formatCode="_-* #,##0.0_-;\-* #,##0.0_-;_-* &quot;-&quot;?_-;_-@_-"/>
    <numFmt numFmtId="177" formatCode="_([$€-2]* #,##0.00_);_([$€-2]* \(#,##0.00\);_([$€-2]* &quot;-&quot;??_)"/>
    <numFmt numFmtId="178" formatCode="[$SGD]\ #,##0.00000"/>
    <numFmt numFmtId="179" formatCode="###,000"/>
  </numFmts>
  <fonts count="9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SWISS"/>
    </font>
    <font>
      <sz val="13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vertAlign val="superscript"/>
      <sz val="14"/>
      <name val="Arial"/>
      <family val="2"/>
    </font>
    <font>
      <u/>
      <sz val="14"/>
      <name val="Arial"/>
      <family val="2"/>
    </font>
    <font>
      <b/>
      <vertAlign val="superscript"/>
      <sz val="14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3"/>
      <color rgb="FFFF0000"/>
      <name val="Arial"/>
      <family val="2"/>
    </font>
    <font>
      <sz val="10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3"/>
      <color rgb="FFFF0000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i/>
      <u/>
      <sz val="14"/>
      <name val="Arial"/>
      <family val="2"/>
    </font>
    <font>
      <i/>
      <sz val="13"/>
      <name val="Arial"/>
      <family val="2"/>
    </font>
    <font>
      <i/>
      <u/>
      <sz val="14"/>
      <name val="Arial"/>
      <family val="2"/>
    </font>
    <font>
      <b/>
      <i/>
      <u/>
      <sz val="14"/>
      <color rgb="FFFF0000"/>
      <name val="Arial"/>
      <family val="2"/>
    </font>
    <font>
      <i/>
      <sz val="14"/>
      <color theme="1"/>
      <name val="Arial"/>
      <family val="2"/>
    </font>
    <font>
      <b/>
      <i/>
      <sz val="13"/>
      <color rgb="FFFF0000"/>
      <name val="Arial"/>
      <family val="2"/>
    </font>
    <font>
      <b/>
      <i/>
      <sz val="13"/>
      <name val="Arial"/>
      <family val="2"/>
    </font>
    <font>
      <vertAlign val="superscript"/>
      <sz val="14"/>
      <color theme="1"/>
      <name val="Arial"/>
      <family val="2"/>
    </font>
    <font>
      <b/>
      <sz val="14"/>
      <color theme="0"/>
      <name val="Arial"/>
      <family val="2"/>
    </font>
    <font>
      <i/>
      <vertAlign val="superscript"/>
      <sz val="14"/>
      <color theme="1"/>
      <name val="Arial"/>
      <family val="2"/>
    </font>
    <font>
      <i/>
      <sz val="9"/>
      <name val="Arial"/>
      <family val="2"/>
    </font>
    <font>
      <b/>
      <u/>
      <vertAlign val="superscript"/>
      <sz val="14"/>
      <name val="Arial"/>
      <family val="2"/>
    </font>
    <font>
      <sz val="11"/>
      <name val="Calibri"/>
      <family val="2"/>
      <scheme val="minor"/>
    </font>
    <font>
      <sz val="10"/>
      <name val="Helv"/>
      <family val="2"/>
    </font>
    <font>
      <sz val="9"/>
      <color theme="1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4"/>
      <color rgb="FF000000"/>
      <name val="Arial"/>
      <family val="2"/>
    </font>
    <font>
      <b/>
      <u/>
      <sz val="13"/>
      <name val="Arial"/>
      <family val="2"/>
    </font>
    <font>
      <vertAlign val="superscript"/>
      <sz val="14"/>
      <color rgb="FF000000"/>
      <name val="Arial"/>
      <family val="2"/>
    </font>
    <font>
      <b/>
      <sz val="14"/>
      <color rgb="FF000000"/>
      <name val="Arial"/>
      <family val="2"/>
    </font>
    <font>
      <i/>
      <sz val="14"/>
      <color rgb="FF000000"/>
      <name val="Arial"/>
      <family val="2"/>
    </font>
    <font>
      <b/>
      <vertAlign val="superscript"/>
      <sz val="14"/>
      <color rgb="FF000000"/>
      <name val="Arial"/>
      <family val="2"/>
    </font>
    <font>
      <i/>
      <vertAlign val="superscript"/>
      <sz val="14"/>
      <name val="Arial"/>
      <family val="2"/>
    </font>
    <font>
      <sz val="14"/>
      <name val="Times New Roman"/>
      <family val="1"/>
    </font>
    <font>
      <b/>
      <sz val="14"/>
      <color rgb="FF0000FF"/>
      <name val="Arial"/>
      <family val="2"/>
    </font>
    <font>
      <i/>
      <sz val="14"/>
      <color rgb="FF000000"/>
      <name val="Calibri"/>
      <family val="2"/>
    </font>
    <font>
      <i/>
      <vertAlign val="superscript"/>
      <sz val="14"/>
      <color rgb="FF000000"/>
      <name val="Calibri"/>
      <family val="2"/>
    </font>
    <font>
      <sz val="14"/>
      <color rgb="FF000000"/>
      <name val="Arial"/>
      <family val="2"/>
    </font>
    <font>
      <sz val="12"/>
      <color theme="1"/>
      <name val="Arial"/>
      <family val="2"/>
    </font>
    <font>
      <b/>
      <u/>
      <sz val="14"/>
      <color rgb="FF000000"/>
      <name val="Arial"/>
      <family val="2"/>
    </font>
    <font>
      <b/>
      <u/>
      <vertAlign val="superscript"/>
      <sz val="14"/>
      <color rgb="FF000000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CCC0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0"/>
        <bgColor rgb="FF000000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92">
    <xf numFmtId="0" fontId="0" fillId="0" borderId="0"/>
    <xf numFmtId="0" fontId="19" fillId="2" borderId="0" applyNumberFormat="0" applyBorder="0" applyAlignment="0" applyProtection="0"/>
    <xf numFmtId="0" fontId="12" fillId="2" borderId="0" applyNumberFormat="0" applyBorder="0" applyAlignment="0" applyProtection="0"/>
    <xf numFmtId="0" fontId="19" fillId="3" borderId="0" applyNumberFormat="0" applyBorder="0" applyAlignment="0" applyProtection="0"/>
    <xf numFmtId="0" fontId="12" fillId="3" borderId="0" applyNumberFormat="0" applyBorder="0" applyAlignment="0" applyProtection="0"/>
    <xf numFmtId="0" fontId="19" fillId="4" borderId="0" applyNumberFormat="0" applyBorder="0" applyAlignment="0" applyProtection="0"/>
    <xf numFmtId="0" fontId="12" fillId="4" borderId="0" applyNumberFormat="0" applyBorder="0" applyAlignment="0" applyProtection="0"/>
    <xf numFmtId="0" fontId="19" fillId="5" borderId="0" applyNumberFormat="0" applyBorder="0" applyAlignment="0" applyProtection="0"/>
    <xf numFmtId="0" fontId="12" fillId="5" borderId="0" applyNumberFormat="0" applyBorder="0" applyAlignment="0" applyProtection="0"/>
    <xf numFmtId="0" fontId="19" fillId="6" borderId="0" applyNumberFormat="0" applyBorder="0" applyAlignment="0" applyProtection="0"/>
    <xf numFmtId="0" fontId="12" fillId="6" borderId="0" applyNumberFormat="0" applyBorder="0" applyAlignment="0" applyProtection="0"/>
    <xf numFmtId="0" fontId="19" fillId="7" borderId="0" applyNumberFormat="0" applyBorder="0" applyAlignment="0" applyProtection="0"/>
    <xf numFmtId="0" fontId="12" fillId="7" borderId="0" applyNumberFormat="0" applyBorder="0" applyAlignment="0" applyProtection="0"/>
    <xf numFmtId="0" fontId="19" fillId="8" borderId="0" applyNumberFormat="0" applyBorder="0" applyAlignment="0" applyProtection="0"/>
    <xf numFmtId="0" fontId="12" fillId="8" borderId="0" applyNumberFormat="0" applyBorder="0" applyAlignment="0" applyProtection="0"/>
    <xf numFmtId="0" fontId="19" fillId="9" borderId="0" applyNumberFormat="0" applyBorder="0" applyAlignment="0" applyProtection="0"/>
    <xf numFmtId="0" fontId="12" fillId="9" borderId="0" applyNumberFormat="0" applyBorder="0" applyAlignment="0" applyProtection="0"/>
    <xf numFmtId="0" fontId="19" fillId="10" borderId="0" applyNumberFormat="0" applyBorder="0" applyAlignment="0" applyProtection="0"/>
    <xf numFmtId="0" fontId="12" fillId="10" borderId="0" applyNumberFormat="0" applyBorder="0" applyAlignment="0" applyProtection="0"/>
    <xf numFmtId="0" fontId="19" fillId="5" borderId="0" applyNumberFormat="0" applyBorder="0" applyAlignment="0" applyProtection="0"/>
    <xf numFmtId="0" fontId="12" fillId="5" borderId="0" applyNumberFormat="0" applyBorder="0" applyAlignment="0" applyProtection="0"/>
    <xf numFmtId="0" fontId="19" fillId="8" borderId="0" applyNumberFormat="0" applyBorder="0" applyAlignment="0" applyProtection="0"/>
    <xf numFmtId="0" fontId="12" fillId="8" borderId="0" applyNumberFormat="0" applyBorder="0" applyAlignment="0" applyProtection="0"/>
    <xf numFmtId="0" fontId="19" fillId="11" borderId="0" applyNumberFormat="0" applyBorder="0" applyAlignment="0" applyProtection="0"/>
    <xf numFmtId="0" fontId="12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166" fontId="13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13" fillId="0" borderId="0"/>
    <xf numFmtId="0" fontId="15" fillId="0" borderId="0"/>
    <xf numFmtId="0" fontId="13" fillId="23" borderId="7" applyNumberFormat="0" applyFont="0" applyAlignment="0" applyProtection="0"/>
    <xf numFmtId="0" fontId="37" fillId="23" borderId="7" applyNumberFormat="0" applyFont="0" applyAlignment="0" applyProtection="0"/>
    <xf numFmtId="0" fontId="13" fillId="23" borderId="7" applyNumberFormat="0" applyFont="0" applyAlignment="0" applyProtection="0"/>
    <xf numFmtId="0" fontId="32" fillId="20" borderId="8" applyNumberForma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/>
    <xf numFmtId="0" fontId="8" fillId="0" borderId="0"/>
    <xf numFmtId="0" fontId="12" fillId="0" borderId="0"/>
    <xf numFmtId="0" fontId="13" fillId="0" borderId="0" applyNumberFormat="0" applyFill="0" applyBorder="0" applyAlignment="0" applyProtection="0"/>
    <xf numFmtId="177" fontId="13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/>
    <xf numFmtId="0" fontId="8" fillId="0" borderId="0"/>
    <xf numFmtId="43" fontId="8" fillId="0" borderId="0" applyFont="0" applyFill="0" applyBorder="0" applyAlignment="0" applyProtection="0"/>
    <xf numFmtId="0" fontId="67" fillId="0" borderId="0"/>
    <xf numFmtId="0" fontId="13" fillId="0" borderId="0" applyNumberFormat="0" applyFont="0" applyFill="0" applyBorder="0" applyAlignment="0" applyProtection="0"/>
    <xf numFmtId="177" fontId="12" fillId="0" borderId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8" fillId="0" borderId="0"/>
    <xf numFmtId="43" fontId="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0" fillId="29" borderId="36" applyNumberFormat="0" applyAlignment="0" applyProtection="0">
      <alignment horizontal="left" vertical="center" indent="1"/>
    </xf>
    <xf numFmtId="179" fontId="71" fillId="0" borderId="37" applyNumberFormat="0" applyProtection="0">
      <alignment horizontal="right" vertical="center"/>
    </xf>
    <xf numFmtId="179" fontId="70" fillId="0" borderId="38" applyNumberFormat="0" applyProtection="0">
      <alignment horizontal="right" vertical="center"/>
    </xf>
    <xf numFmtId="179" fontId="71" fillId="30" borderId="36" applyNumberFormat="0" applyAlignment="0" applyProtection="0">
      <alignment horizontal="left" vertical="center" indent="1"/>
    </xf>
    <xf numFmtId="0" fontId="72" fillId="31" borderId="38" applyNumberFormat="0" applyAlignment="0">
      <alignment horizontal="left" vertical="center" indent="1"/>
      <protection locked="0"/>
    </xf>
    <xf numFmtId="0" fontId="72" fillId="32" borderId="38" applyNumberFormat="0" applyAlignment="0" applyProtection="0">
      <alignment horizontal="left" vertical="center" indent="1"/>
    </xf>
    <xf numFmtId="179" fontId="71" fillId="33" borderId="37" applyNumberFormat="0" applyBorder="0">
      <alignment horizontal="right" vertical="center"/>
      <protection locked="0"/>
    </xf>
    <xf numFmtId="0" fontId="72" fillId="31" borderId="38" applyNumberFormat="0" applyAlignment="0">
      <alignment horizontal="left" vertical="center" indent="1"/>
      <protection locked="0"/>
    </xf>
    <xf numFmtId="179" fontId="70" fillId="32" borderId="38" applyNumberFormat="0" applyProtection="0">
      <alignment horizontal="right" vertical="center"/>
    </xf>
    <xf numFmtId="179" fontId="70" fillId="33" borderId="38" applyNumberFormat="0" applyBorder="0">
      <alignment horizontal="right" vertical="center"/>
      <protection locked="0"/>
    </xf>
    <xf numFmtId="179" fontId="73" fillId="34" borderId="39" applyNumberFormat="0" applyBorder="0" applyAlignment="0" applyProtection="0">
      <alignment horizontal="right" vertical="center" indent="1"/>
    </xf>
    <xf numFmtId="179" fontId="74" fillId="35" borderId="39" applyNumberFormat="0" applyBorder="0" applyAlignment="0" applyProtection="0">
      <alignment horizontal="right" vertical="center" indent="1"/>
    </xf>
    <xf numFmtId="179" fontId="74" fillId="36" borderId="39" applyNumberFormat="0" applyBorder="0" applyAlignment="0" applyProtection="0">
      <alignment horizontal="right" vertical="center" indent="1"/>
    </xf>
    <xf numFmtId="179" fontId="75" fillId="37" borderId="39" applyNumberFormat="0" applyBorder="0" applyAlignment="0" applyProtection="0">
      <alignment horizontal="right" vertical="center" indent="1"/>
    </xf>
    <xf numFmtId="179" fontId="75" fillId="38" borderId="39" applyNumberFormat="0" applyBorder="0" applyAlignment="0" applyProtection="0">
      <alignment horizontal="right" vertical="center" indent="1"/>
    </xf>
    <xf numFmtId="179" fontId="75" fillId="39" borderId="39" applyNumberFormat="0" applyBorder="0" applyAlignment="0" applyProtection="0">
      <alignment horizontal="right" vertical="center" indent="1"/>
    </xf>
    <xf numFmtId="179" fontId="76" fillId="40" borderId="39" applyNumberFormat="0" applyBorder="0" applyAlignment="0" applyProtection="0">
      <alignment horizontal="right" vertical="center" indent="1"/>
    </xf>
    <xf numFmtId="179" fontId="76" fillId="41" borderId="39" applyNumberFormat="0" applyBorder="0" applyAlignment="0" applyProtection="0">
      <alignment horizontal="right" vertical="center" indent="1"/>
    </xf>
    <xf numFmtId="179" fontId="76" fillId="42" borderId="39" applyNumberFormat="0" applyBorder="0" applyAlignment="0" applyProtection="0">
      <alignment horizontal="right" vertical="center" indent="1"/>
    </xf>
    <xf numFmtId="0" fontId="77" fillId="0" borderId="36" applyNumberFormat="0" applyFont="0" applyFill="0" applyAlignment="0" applyProtection="0"/>
    <xf numFmtId="179" fontId="78" fillId="30" borderId="0" applyNumberFormat="0" applyAlignment="0" applyProtection="0">
      <alignment horizontal="left" vertical="center" indent="1"/>
    </xf>
    <xf numFmtId="0" fontId="77" fillId="0" borderId="40" applyNumberFormat="0" applyFont="0" applyFill="0" applyAlignment="0" applyProtection="0"/>
    <xf numFmtId="179" fontId="71" fillId="0" borderId="37" applyNumberFormat="0" applyFill="0" applyBorder="0" applyAlignment="0" applyProtection="0">
      <alignment horizontal="right" vertical="center"/>
    </xf>
    <xf numFmtId="179" fontId="71" fillId="30" borderId="36" applyNumberFormat="0" applyAlignment="0" applyProtection="0">
      <alignment horizontal="left" vertical="center" indent="1"/>
    </xf>
    <xf numFmtId="0" fontId="70" fillId="29" borderId="38" applyNumberFormat="0" applyAlignment="0" applyProtection="0">
      <alignment horizontal="left" vertical="center" indent="1"/>
    </xf>
    <xf numFmtId="0" fontId="72" fillId="43" borderId="36" applyNumberFormat="0" applyAlignment="0" applyProtection="0">
      <alignment horizontal="left" vertical="center" indent="1"/>
    </xf>
    <xf numFmtId="0" fontId="72" fillId="44" borderId="36" applyNumberFormat="0" applyAlignment="0" applyProtection="0">
      <alignment horizontal="left" vertical="center" indent="1"/>
    </xf>
    <xf numFmtId="0" fontId="72" fillId="45" borderId="36" applyNumberFormat="0" applyAlignment="0" applyProtection="0">
      <alignment horizontal="left" vertical="center" indent="1"/>
    </xf>
    <xf numFmtId="0" fontId="72" fillId="33" borderId="36" applyNumberFormat="0" applyAlignment="0" applyProtection="0">
      <alignment horizontal="left" vertical="center" indent="1"/>
    </xf>
    <xf numFmtId="0" fontId="72" fillId="32" borderId="38" applyNumberFormat="0" applyAlignment="0" applyProtection="0">
      <alignment horizontal="left" vertical="center" indent="1"/>
    </xf>
    <xf numFmtId="0" fontId="79" fillId="0" borderId="41" applyNumberFormat="0" applyFill="0" applyBorder="0" applyAlignment="0" applyProtection="0"/>
    <xf numFmtId="0" fontId="80" fillId="0" borderId="41" applyNumberFormat="0" applyBorder="0" applyAlignment="0" applyProtection="0"/>
    <xf numFmtId="0" fontId="79" fillId="31" borderId="38" applyNumberFormat="0" applyAlignment="0">
      <alignment horizontal="left" vertical="center" indent="1"/>
      <protection locked="0"/>
    </xf>
    <xf numFmtId="0" fontId="79" fillId="31" borderId="38" applyNumberFormat="0" applyAlignment="0">
      <alignment horizontal="left" vertical="center" indent="1"/>
      <protection locked="0"/>
    </xf>
    <xf numFmtId="0" fontId="79" fillId="32" borderId="38" applyNumberFormat="0" applyAlignment="0" applyProtection="0">
      <alignment horizontal="left" vertical="center" indent="1"/>
    </xf>
    <xf numFmtId="179" fontId="81" fillId="32" borderId="38" applyNumberFormat="0" applyProtection="0">
      <alignment horizontal="right" vertical="center"/>
    </xf>
    <xf numFmtId="179" fontId="82" fillId="33" borderId="37" applyNumberFormat="0" applyBorder="0">
      <alignment horizontal="right" vertical="center"/>
      <protection locked="0"/>
    </xf>
    <xf numFmtId="179" fontId="81" fillId="33" borderId="38" applyNumberFormat="0" applyBorder="0">
      <alignment horizontal="right" vertical="center"/>
      <protection locked="0"/>
    </xf>
    <xf numFmtId="179" fontId="71" fillId="0" borderId="37" applyNumberFormat="0" applyFill="0" applyBorder="0" applyAlignment="0" applyProtection="0">
      <alignment horizontal="right" vertical="center"/>
    </xf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15">
    <xf numFmtId="0" fontId="0" fillId="0" borderId="0" xfId="0"/>
    <xf numFmtId="0" fontId="14" fillId="24" borderId="0" xfId="61" applyFont="1" applyFill="1"/>
    <xf numFmtId="0" fontId="16" fillId="24" borderId="0" xfId="61" applyFont="1" applyFill="1"/>
    <xf numFmtId="0" fontId="18" fillId="24" borderId="0" xfId="61" applyFont="1" applyFill="1"/>
    <xf numFmtId="9" fontId="16" fillId="24" borderId="0" xfId="66" applyFont="1" applyFill="1"/>
    <xf numFmtId="0" fontId="16" fillId="25" borderId="0" xfId="61" applyFont="1" applyFill="1"/>
    <xf numFmtId="0" fontId="16" fillId="25" borderId="10" xfId="61" applyFont="1" applyFill="1" applyBorder="1"/>
    <xf numFmtId="0" fontId="18" fillId="25" borderId="10" xfId="61" applyFont="1" applyFill="1" applyBorder="1"/>
    <xf numFmtId="0" fontId="17" fillId="24" borderId="0" xfId="61" applyFont="1" applyFill="1"/>
    <xf numFmtId="1" fontId="16" fillId="25" borderId="0" xfId="61" applyNumberFormat="1" applyFont="1" applyFill="1"/>
    <xf numFmtId="0" fontId="18" fillId="25" borderId="0" xfId="61" applyFont="1" applyFill="1"/>
    <xf numFmtId="0" fontId="41" fillId="24" borderId="11" xfId="61" applyFont="1" applyFill="1" applyBorder="1"/>
    <xf numFmtId="0" fontId="40" fillId="24" borderId="0" xfId="61" applyFont="1" applyFill="1"/>
    <xf numFmtId="0" fontId="40" fillId="24" borderId="12" xfId="61" applyFont="1" applyFill="1" applyBorder="1"/>
    <xf numFmtId="0" fontId="40" fillId="24" borderId="10" xfId="61" applyFont="1" applyFill="1" applyBorder="1"/>
    <xf numFmtId="0" fontId="17" fillId="25" borderId="0" xfId="61" applyFont="1" applyFill="1"/>
    <xf numFmtId="0" fontId="43" fillId="24" borderId="11" xfId="61" applyFont="1" applyFill="1" applyBorder="1"/>
    <xf numFmtId="164" fontId="17" fillId="25" borderId="14" xfId="40" applyNumberFormat="1" applyFont="1" applyFill="1" applyBorder="1"/>
    <xf numFmtId="0" fontId="41" fillId="24" borderId="11" xfId="61" applyFont="1" applyFill="1" applyBorder="1" applyAlignment="1">
      <alignment horizontal="left"/>
    </xf>
    <xf numFmtId="164" fontId="46" fillId="25" borderId="12" xfId="61" applyNumberFormat="1" applyFont="1" applyFill="1" applyBorder="1"/>
    <xf numFmtId="0" fontId="40" fillId="0" borderId="21" xfId="61" applyFont="1" applyBorder="1"/>
    <xf numFmtId="0" fontId="40" fillId="25" borderId="11" xfId="61" applyFont="1" applyFill="1" applyBorder="1"/>
    <xf numFmtId="0" fontId="40" fillId="24" borderId="18" xfId="61" applyFont="1" applyFill="1" applyBorder="1"/>
    <xf numFmtId="1" fontId="40" fillId="25" borderId="11" xfId="61" applyNumberFormat="1" applyFont="1" applyFill="1" applyBorder="1"/>
    <xf numFmtId="0" fontId="41" fillId="25" borderId="11" xfId="61" applyFont="1" applyFill="1" applyBorder="1" applyAlignment="1">
      <alignment horizontal="left"/>
    </xf>
    <xf numFmtId="0" fontId="40" fillId="25" borderId="21" xfId="61" applyFont="1" applyFill="1" applyBorder="1"/>
    <xf numFmtId="164" fontId="17" fillId="25" borderId="0" xfId="61" applyNumberFormat="1" applyFont="1" applyFill="1"/>
    <xf numFmtId="0" fontId="40" fillId="24" borderId="26" xfId="61" applyFont="1" applyFill="1" applyBorder="1"/>
    <xf numFmtId="0" fontId="45" fillId="24" borderId="0" xfId="61" quotePrefix="1" applyFont="1" applyFill="1" applyAlignment="1">
      <alignment horizontal="left" indent="2"/>
    </xf>
    <xf numFmtId="0" fontId="45" fillId="24" borderId="0" xfId="61" applyFont="1" applyFill="1"/>
    <xf numFmtId="164" fontId="40" fillId="25" borderId="19" xfId="61" applyNumberFormat="1" applyFont="1" applyFill="1" applyBorder="1" applyAlignment="1">
      <alignment horizontal="right"/>
    </xf>
    <xf numFmtId="0" fontId="40" fillId="24" borderId="0" xfId="61" quotePrefix="1" applyFont="1" applyFill="1"/>
    <xf numFmtId="9" fontId="40" fillId="24" borderId="11" xfId="66" applyFont="1" applyFill="1" applyBorder="1"/>
    <xf numFmtId="9" fontId="40" fillId="25" borderId="0" xfId="66" applyFont="1" applyFill="1" applyBorder="1"/>
    <xf numFmtId="9" fontId="40" fillId="25" borderId="0" xfId="66" quotePrefix="1" applyFont="1" applyFill="1" applyBorder="1"/>
    <xf numFmtId="0" fontId="40" fillId="24" borderId="10" xfId="61" quotePrefix="1" applyFont="1" applyFill="1" applyBorder="1"/>
    <xf numFmtId="164" fontId="40" fillId="25" borderId="12" xfId="40" applyNumberFormat="1" applyFont="1" applyFill="1" applyBorder="1" applyAlignment="1">
      <alignment horizontal="right"/>
    </xf>
    <xf numFmtId="170" fontId="40" fillId="25" borderId="12" xfId="40" applyNumberFormat="1" applyFont="1" applyFill="1" applyBorder="1"/>
    <xf numFmtId="0" fontId="40" fillId="25" borderId="18" xfId="61" applyFont="1" applyFill="1" applyBorder="1"/>
    <xf numFmtId="164" fontId="40" fillId="25" borderId="13" xfId="40" applyNumberFormat="1" applyFont="1" applyFill="1" applyBorder="1"/>
    <xf numFmtId="0" fontId="40" fillId="25" borderId="0" xfId="61" applyFont="1" applyFill="1"/>
    <xf numFmtId="164" fontId="16" fillId="25" borderId="12" xfId="40" applyNumberFormat="1" applyFont="1" applyFill="1" applyBorder="1"/>
    <xf numFmtId="164" fontId="40" fillId="25" borderId="12" xfId="40" applyNumberFormat="1" applyFont="1" applyFill="1" applyBorder="1"/>
    <xf numFmtId="164" fontId="40" fillId="25" borderId="24" xfId="40" applyNumberFormat="1" applyFont="1" applyFill="1" applyBorder="1"/>
    <xf numFmtId="164" fontId="17" fillId="25" borderId="12" xfId="61" applyNumberFormat="1" applyFont="1" applyFill="1" applyBorder="1"/>
    <xf numFmtId="164" fontId="17" fillId="25" borderId="12" xfId="61" applyNumberFormat="1" applyFont="1" applyFill="1" applyBorder="1" applyAlignment="1">
      <alignment horizontal="centerContinuous"/>
    </xf>
    <xf numFmtId="164" fontId="40" fillId="25" borderId="13" xfId="61" applyNumberFormat="1" applyFont="1" applyFill="1" applyBorder="1" applyAlignment="1">
      <alignment horizontal="right"/>
    </xf>
    <xf numFmtId="164" fontId="40" fillId="25" borderId="12" xfId="61" applyNumberFormat="1" applyFont="1" applyFill="1" applyBorder="1"/>
    <xf numFmtId="164" fontId="40" fillId="25" borderId="13" xfId="61" applyNumberFormat="1" applyFont="1" applyFill="1" applyBorder="1"/>
    <xf numFmtId="164" fontId="40" fillId="25" borderId="12" xfId="61" applyNumberFormat="1" applyFont="1" applyFill="1" applyBorder="1" applyAlignment="1">
      <alignment horizontal="right"/>
    </xf>
    <xf numFmtId="172" fontId="41" fillId="24" borderId="11" xfId="66" applyNumberFormat="1" applyFont="1" applyFill="1" applyBorder="1"/>
    <xf numFmtId="172" fontId="18" fillId="24" borderId="0" xfId="66" applyNumberFormat="1" applyFont="1" applyFill="1"/>
    <xf numFmtId="164" fontId="17" fillId="25" borderId="0" xfId="40" applyNumberFormat="1" applyFont="1" applyFill="1" applyBorder="1"/>
    <xf numFmtId="0" fontId="17" fillId="24" borderId="28" xfId="61" applyFont="1" applyFill="1" applyBorder="1"/>
    <xf numFmtId="0" fontId="41" fillId="24" borderId="18" xfId="61" applyFont="1" applyFill="1" applyBorder="1"/>
    <xf numFmtId="170" fontId="40" fillId="25" borderId="13" xfId="40" applyNumberFormat="1" applyFont="1" applyFill="1" applyBorder="1"/>
    <xf numFmtId="164" fontId="17" fillId="25" borderId="12" xfId="40" applyNumberFormat="1" applyFont="1" applyFill="1" applyBorder="1"/>
    <xf numFmtId="166" fontId="16" fillId="24" borderId="0" xfId="61" applyNumberFormat="1" applyFont="1" applyFill="1"/>
    <xf numFmtId="164" fontId="40" fillId="25" borderId="14" xfId="40" applyNumberFormat="1" applyFont="1" applyFill="1" applyBorder="1"/>
    <xf numFmtId="1" fontId="40" fillId="25" borderId="12" xfId="40" applyNumberFormat="1" applyFont="1" applyFill="1" applyBorder="1" applyAlignment="1">
      <alignment horizontal="right" indent="1"/>
    </xf>
    <xf numFmtId="1" fontId="40" fillId="25" borderId="12" xfId="61" applyNumberFormat="1" applyFont="1" applyFill="1" applyBorder="1" applyAlignment="1">
      <alignment horizontal="right" indent="1"/>
    </xf>
    <xf numFmtId="164" fontId="40" fillId="25" borderId="13" xfId="40" applyNumberFormat="1" applyFont="1" applyFill="1" applyBorder="1" applyAlignment="1">
      <alignment horizontal="right"/>
    </xf>
    <xf numFmtId="164" fontId="45" fillId="25" borderId="12" xfId="61" applyNumberFormat="1" applyFont="1" applyFill="1" applyBorder="1" applyAlignment="1">
      <alignment horizontal="right"/>
    </xf>
    <xf numFmtId="170" fontId="17" fillId="25" borderId="19" xfId="40" applyNumberFormat="1" applyFont="1" applyFill="1" applyBorder="1"/>
    <xf numFmtId="170" fontId="17" fillId="25" borderId="13" xfId="40" applyNumberFormat="1" applyFont="1" applyFill="1" applyBorder="1"/>
    <xf numFmtId="170" fontId="17" fillId="25" borderId="12" xfId="40" applyNumberFormat="1" applyFont="1" applyFill="1" applyBorder="1"/>
    <xf numFmtId="170" fontId="40" fillId="25" borderId="13" xfId="40" applyNumberFormat="1" applyFont="1" applyFill="1" applyBorder="1" applyAlignment="1">
      <alignment horizontal="right"/>
    </xf>
    <xf numFmtId="0" fontId="48" fillId="24" borderId="0" xfId="61" applyFont="1" applyFill="1"/>
    <xf numFmtId="0" fontId="48" fillId="25" borderId="0" xfId="61" applyFont="1" applyFill="1"/>
    <xf numFmtId="0" fontId="49" fillId="25" borderId="0" xfId="61" applyFont="1" applyFill="1"/>
    <xf numFmtId="0" fontId="49" fillId="24" borderId="0" xfId="61" applyFont="1" applyFill="1"/>
    <xf numFmtId="0" fontId="47" fillId="25" borderId="11" xfId="61" applyFont="1" applyFill="1" applyBorder="1"/>
    <xf numFmtId="0" fontId="47" fillId="25" borderId="0" xfId="61" applyFont="1" applyFill="1"/>
    <xf numFmtId="0" fontId="51" fillId="24" borderId="11" xfId="61" applyFont="1" applyFill="1" applyBorder="1" applyAlignment="1">
      <alignment horizontal="left"/>
    </xf>
    <xf numFmtId="0" fontId="52" fillId="24" borderId="0" xfId="61" applyFont="1" applyFill="1"/>
    <xf numFmtId="0" fontId="53" fillId="25" borderId="0" xfId="61" applyFont="1" applyFill="1"/>
    <xf numFmtId="0" fontId="54" fillId="24" borderId="0" xfId="61" applyFont="1" applyFill="1"/>
    <xf numFmtId="0" fontId="46" fillId="25" borderId="11" xfId="61" applyFont="1" applyFill="1" applyBorder="1"/>
    <xf numFmtId="0" fontId="46" fillId="24" borderId="0" xfId="61" applyFont="1" applyFill="1"/>
    <xf numFmtId="0" fontId="46" fillId="25" borderId="0" xfId="61" applyFont="1" applyFill="1"/>
    <xf numFmtId="171" fontId="40" fillId="25" borderId="0" xfId="40" applyNumberFormat="1" applyFont="1" applyFill="1" applyBorder="1"/>
    <xf numFmtId="0" fontId="17" fillId="24" borderId="11" xfId="61" applyFont="1" applyFill="1" applyBorder="1" applyAlignment="1">
      <alignment horizontal="centerContinuous"/>
    </xf>
    <xf numFmtId="0" fontId="46" fillId="25" borderId="17" xfId="61" applyFont="1" applyFill="1" applyBorder="1"/>
    <xf numFmtId="1" fontId="46" fillId="25" borderId="17" xfId="61" applyNumberFormat="1" applyFont="1" applyFill="1" applyBorder="1"/>
    <xf numFmtId="0" fontId="40" fillId="25" borderId="17" xfId="61" applyFont="1" applyFill="1" applyBorder="1"/>
    <xf numFmtId="173" fontId="40" fillId="25" borderId="0" xfId="61" applyNumberFormat="1" applyFont="1" applyFill="1"/>
    <xf numFmtId="170" fontId="40" fillId="25" borderId="12" xfId="40" applyNumberFormat="1" applyFont="1" applyFill="1" applyBorder="1" applyAlignment="1">
      <alignment horizontal="right" indent="1"/>
    </xf>
    <xf numFmtId="170" fontId="40" fillId="25" borderId="13" xfId="40" applyNumberFormat="1" applyFont="1" applyFill="1" applyBorder="1" applyAlignment="1">
      <alignment horizontal="right" indent="1"/>
    </xf>
    <xf numFmtId="164" fontId="45" fillId="25" borderId="12" xfId="61" applyNumberFormat="1" applyFont="1" applyFill="1" applyBorder="1"/>
    <xf numFmtId="0" fontId="56" fillId="24" borderId="0" xfId="61" applyFont="1" applyFill="1"/>
    <xf numFmtId="0" fontId="57" fillId="24" borderId="11" xfId="61" applyFont="1" applyFill="1" applyBorder="1"/>
    <xf numFmtId="0" fontId="47" fillId="24" borderId="0" xfId="61" applyFont="1" applyFill="1"/>
    <xf numFmtId="0" fontId="53" fillId="25" borderId="17" xfId="61" applyFont="1" applyFill="1" applyBorder="1"/>
    <xf numFmtId="0" fontId="58" fillId="24" borderId="11" xfId="61" applyFont="1" applyFill="1" applyBorder="1" applyAlignment="1">
      <alignment horizontal="left"/>
    </xf>
    <xf numFmtId="0" fontId="59" fillId="25" borderId="17" xfId="61" applyFont="1" applyFill="1" applyBorder="1"/>
    <xf numFmtId="0" fontId="60" fillId="24" borderId="0" xfId="61" applyFont="1" applyFill="1"/>
    <xf numFmtId="0" fontId="57" fillId="24" borderId="11" xfId="61" applyFont="1" applyFill="1" applyBorder="1" applyAlignment="1">
      <alignment horizontal="left"/>
    </xf>
    <xf numFmtId="0" fontId="61" fillId="24" borderId="0" xfId="61" applyFont="1" applyFill="1"/>
    <xf numFmtId="0" fontId="55" fillId="24" borderId="11" xfId="61" applyFont="1" applyFill="1" applyBorder="1" applyAlignment="1">
      <alignment horizontal="left"/>
    </xf>
    <xf numFmtId="172" fontId="45" fillId="25" borderId="12" xfId="66" applyNumberFormat="1" applyFont="1" applyFill="1" applyBorder="1"/>
    <xf numFmtId="164" fontId="17" fillId="24" borderId="0" xfId="41" applyNumberFormat="1" applyFont="1" applyFill="1" applyBorder="1"/>
    <xf numFmtId="164" fontId="17" fillId="25" borderId="31" xfId="40" applyNumberFormat="1" applyFont="1" applyFill="1" applyBorder="1"/>
    <xf numFmtId="0" fontId="40" fillId="25" borderId="28" xfId="61" applyFont="1" applyFill="1" applyBorder="1"/>
    <xf numFmtId="164" fontId="17" fillId="25" borderId="25" xfId="44" applyNumberFormat="1" applyFont="1" applyFill="1" applyBorder="1" applyAlignment="1">
      <alignment horizontal="right"/>
    </xf>
    <xf numFmtId="164" fontId="59" fillId="25" borderId="12" xfId="61" applyNumberFormat="1" applyFont="1" applyFill="1" applyBorder="1"/>
    <xf numFmtId="164" fontId="53" fillId="25" borderId="12" xfId="61" applyNumberFormat="1" applyFont="1" applyFill="1" applyBorder="1"/>
    <xf numFmtId="164" fontId="17" fillId="25" borderId="23" xfId="44" applyNumberFormat="1" applyFont="1" applyFill="1" applyBorder="1" applyAlignment="1">
      <alignment horizontal="right"/>
    </xf>
    <xf numFmtId="164" fontId="17" fillId="25" borderId="25" xfId="40" applyNumberFormat="1" applyFont="1" applyFill="1" applyBorder="1"/>
    <xf numFmtId="170" fontId="16" fillId="24" borderId="0" xfId="61" applyNumberFormat="1" applyFont="1" applyFill="1"/>
    <xf numFmtId="0" fontId="13" fillId="0" borderId="0" xfId="60"/>
    <xf numFmtId="0" fontId="50" fillId="0" borderId="0" xfId="60" applyFont="1"/>
    <xf numFmtId="0" fontId="40" fillId="0" borderId="0" xfId="60" applyFont="1"/>
    <xf numFmtId="0" fontId="40" fillId="25" borderId="0" xfId="60" applyFont="1" applyFill="1"/>
    <xf numFmtId="0" fontId="17" fillId="0" borderId="0" xfId="60" applyFont="1"/>
    <xf numFmtId="164" fontId="17" fillId="25" borderId="17" xfId="61" applyNumberFormat="1" applyFont="1" applyFill="1" applyBorder="1"/>
    <xf numFmtId="164" fontId="46" fillId="25" borderId="13" xfId="61" applyNumberFormat="1" applyFont="1" applyFill="1" applyBorder="1"/>
    <xf numFmtId="164" fontId="46" fillId="25" borderId="14" xfId="61" applyNumberFormat="1" applyFont="1" applyFill="1" applyBorder="1"/>
    <xf numFmtId="172" fontId="59" fillId="25" borderId="12" xfId="66" applyNumberFormat="1" applyFont="1" applyFill="1" applyBorder="1"/>
    <xf numFmtId="0" fontId="46" fillId="0" borderId="0" xfId="60" applyFont="1"/>
    <xf numFmtId="0" fontId="17" fillId="26" borderId="14" xfId="61" applyFont="1" applyFill="1" applyBorder="1" applyAlignment="1">
      <alignment horizontal="center"/>
    </xf>
    <xf numFmtId="0" fontId="17" fillId="26" borderId="12" xfId="61" applyFont="1" applyFill="1" applyBorder="1" applyAlignment="1">
      <alignment horizontal="center"/>
    </xf>
    <xf numFmtId="0" fontId="40" fillId="25" borderId="32" xfId="61" applyFont="1" applyFill="1" applyBorder="1"/>
    <xf numFmtId="41" fontId="17" fillId="25" borderId="0" xfId="78" applyNumberFormat="1" applyFont="1" applyFill="1" applyBorder="1"/>
    <xf numFmtId="0" fontId="46" fillId="24" borderId="0" xfId="61" quotePrefix="1" applyFont="1" applyFill="1"/>
    <xf numFmtId="0" fontId="46" fillId="27" borderId="0" xfId="61" applyFont="1" applyFill="1"/>
    <xf numFmtId="0" fontId="46" fillId="27" borderId="0" xfId="61" quotePrefix="1" applyFont="1" applyFill="1"/>
    <xf numFmtId="0" fontId="40" fillId="26" borderId="15" xfId="61" applyFont="1" applyFill="1" applyBorder="1"/>
    <xf numFmtId="0" fontId="17" fillId="26" borderId="0" xfId="61" applyFont="1" applyFill="1"/>
    <xf numFmtId="0" fontId="40" fillId="26" borderId="20" xfId="61" applyFont="1" applyFill="1" applyBorder="1"/>
    <xf numFmtId="0" fontId="17" fillId="26" borderId="11" xfId="61" applyFont="1" applyFill="1" applyBorder="1"/>
    <xf numFmtId="0" fontId="17" fillId="26" borderId="20" xfId="61" applyFont="1" applyFill="1" applyBorder="1"/>
    <xf numFmtId="0" fontId="40" fillId="26" borderId="27" xfId="61" applyFont="1" applyFill="1" applyBorder="1"/>
    <xf numFmtId="0" fontId="40" fillId="26" borderId="28" xfId="61" applyFont="1" applyFill="1" applyBorder="1"/>
    <xf numFmtId="164" fontId="18" fillId="24" borderId="0" xfId="61" applyNumberFormat="1" applyFont="1" applyFill="1"/>
    <xf numFmtId="164" fontId="17" fillId="25" borderId="0" xfId="41" applyNumberFormat="1" applyFont="1" applyFill="1" applyBorder="1"/>
    <xf numFmtId="0" fontId="46" fillId="25" borderId="0" xfId="61" quotePrefix="1" applyFont="1" applyFill="1"/>
    <xf numFmtId="0" fontId="63" fillId="25" borderId="0" xfId="61" applyFont="1" applyFill="1" applyAlignment="1">
      <alignment vertical="center"/>
    </xf>
    <xf numFmtId="0" fontId="17" fillId="25" borderId="0" xfId="61" applyFont="1" applyFill="1" applyAlignment="1">
      <alignment horizontal="center"/>
    </xf>
    <xf numFmtId="0" fontId="17" fillId="28" borderId="28" xfId="61" applyFont="1" applyFill="1" applyBorder="1" applyAlignment="1">
      <alignment horizontal="center"/>
    </xf>
    <xf numFmtId="166" fontId="16" fillId="25" borderId="0" xfId="61" applyNumberFormat="1" applyFont="1" applyFill="1"/>
    <xf numFmtId="0" fontId="46" fillId="25" borderId="0" xfId="60" applyFont="1" applyFill="1"/>
    <xf numFmtId="0" fontId="52" fillId="25" borderId="0" xfId="61" applyFont="1" applyFill="1"/>
    <xf numFmtId="0" fontId="40" fillId="26" borderId="0" xfId="60" applyFont="1" applyFill="1"/>
    <xf numFmtId="0" fontId="18" fillId="28" borderId="17" xfId="61" applyFont="1" applyFill="1" applyBorder="1"/>
    <xf numFmtId="0" fontId="16" fillId="24" borderId="12" xfId="61" applyFont="1" applyFill="1" applyBorder="1"/>
    <xf numFmtId="0" fontId="16" fillId="25" borderId="12" xfId="61" applyFont="1" applyFill="1" applyBorder="1"/>
    <xf numFmtId="170" fontId="18" fillId="25" borderId="12" xfId="40" applyNumberFormat="1" applyFont="1" applyFill="1" applyBorder="1"/>
    <xf numFmtId="0" fontId="17" fillId="26" borderId="17" xfId="61" applyFont="1" applyFill="1" applyBorder="1" applyAlignment="1">
      <alignment horizontal="center"/>
    </xf>
    <xf numFmtId="0" fontId="40" fillId="26" borderId="18" xfId="61" applyFont="1" applyFill="1" applyBorder="1"/>
    <xf numFmtId="0" fontId="40" fillId="26" borderId="10" xfId="61" applyFont="1" applyFill="1" applyBorder="1"/>
    <xf numFmtId="176" fontId="18" fillId="24" borderId="0" xfId="61" applyNumberFormat="1" applyFont="1" applyFill="1"/>
    <xf numFmtId="176" fontId="16" fillId="24" borderId="0" xfId="61" applyNumberFormat="1" applyFont="1" applyFill="1"/>
    <xf numFmtId="166" fontId="56" fillId="25" borderId="0" xfId="61" applyNumberFormat="1" applyFont="1" applyFill="1"/>
    <xf numFmtId="0" fontId="55" fillId="25" borderId="11" xfId="61" applyFont="1" applyFill="1" applyBorder="1" applyAlignment="1">
      <alignment horizontal="left"/>
    </xf>
    <xf numFmtId="172" fontId="40" fillId="25" borderId="12" xfId="66" applyNumberFormat="1" applyFont="1" applyFill="1" applyBorder="1" applyAlignment="1">
      <alignment horizontal="right" indent="1"/>
    </xf>
    <xf numFmtId="164" fontId="18" fillId="25" borderId="0" xfId="61" applyNumberFormat="1" applyFont="1" applyFill="1"/>
    <xf numFmtId="164" fontId="16" fillId="25" borderId="0" xfId="61" applyNumberFormat="1" applyFont="1" applyFill="1"/>
    <xf numFmtId="164" fontId="56" fillId="25" borderId="0" xfId="61" applyNumberFormat="1" applyFont="1" applyFill="1"/>
    <xf numFmtId="170" fontId="40" fillId="25" borderId="12" xfId="66" applyNumberFormat="1" applyFont="1" applyFill="1" applyBorder="1" applyAlignment="1">
      <alignment horizontal="right" indent="1"/>
    </xf>
    <xf numFmtId="0" fontId="17" fillId="25" borderId="11" xfId="61" applyFont="1" applyFill="1" applyBorder="1"/>
    <xf numFmtId="0" fontId="46" fillId="25" borderId="10" xfId="61" applyFont="1" applyFill="1" applyBorder="1"/>
    <xf numFmtId="0" fontId="17" fillId="25" borderId="0" xfId="60" applyFont="1" applyFill="1"/>
    <xf numFmtId="0" fontId="17" fillId="26" borderId="19" xfId="61" applyFont="1" applyFill="1" applyBorder="1" applyAlignment="1">
      <alignment horizontal="center"/>
    </xf>
    <xf numFmtId="0" fontId="17" fillId="28" borderId="13" xfId="61" applyFont="1" applyFill="1" applyBorder="1" applyAlignment="1">
      <alignment horizontal="center"/>
    </xf>
    <xf numFmtId="0" fontId="18" fillId="28" borderId="12" xfId="61" applyFont="1" applyFill="1" applyBorder="1"/>
    <xf numFmtId="170" fontId="40" fillId="25" borderId="0" xfId="61" applyNumberFormat="1" applyFont="1" applyFill="1"/>
    <xf numFmtId="0" fontId="17" fillId="26" borderId="18" xfId="61" applyFont="1" applyFill="1" applyBorder="1"/>
    <xf numFmtId="0" fontId="17" fillId="26" borderId="17" xfId="61" applyFont="1" applyFill="1" applyBorder="1"/>
    <xf numFmtId="0" fontId="40" fillId="26" borderId="17" xfId="61" applyFont="1" applyFill="1" applyBorder="1"/>
    <xf numFmtId="0" fontId="17" fillId="28" borderId="12" xfId="61" applyFont="1" applyFill="1" applyBorder="1" applyAlignment="1">
      <alignment horizontal="center"/>
    </xf>
    <xf numFmtId="0" fontId="41" fillId="24" borderId="20" xfId="61" applyFont="1" applyFill="1" applyBorder="1" applyAlignment="1">
      <alignment horizontal="left"/>
    </xf>
    <xf numFmtId="0" fontId="17" fillId="24" borderId="26" xfId="61" applyFont="1" applyFill="1" applyBorder="1"/>
    <xf numFmtId="0" fontId="17" fillId="25" borderId="18" xfId="61" applyFont="1" applyFill="1" applyBorder="1"/>
    <xf numFmtId="164" fontId="17" fillId="25" borderId="12" xfId="61" applyNumberFormat="1" applyFont="1" applyFill="1" applyBorder="1" applyAlignment="1">
      <alignment horizontal="right"/>
    </xf>
    <xf numFmtId="0" fontId="17" fillId="0" borderId="14" xfId="61" applyFont="1" applyBorder="1" applyAlignment="1">
      <alignment horizontal="center"/>
    </xf>
    <xf numFmtId="0" fontId="41" fillId="24" borderId="0" xfId="61" applyFont="1" applyFill="1"/>
    <xf numFmtId="0" fontId="41" fillId="24" borderId="0" xfId="61" applyFont="1" applyFill="1" applyAlignment="1">
      <alignment horizontal="left"/>
    </xf>
    <xf numFmtId="0" fontId="17" fillId="26" borderId="28" xfId="61" applyFont="1" applyFill="1" applyBorder="1"/>
    <xf numFmtId="0" fontId="17" fillId="26" borderId="13" xfId="61" applyFont="1" applyFill="1" applyBorder="1" applyAlignment="1">
      <alignment horizontal="center"/>
    </xf>
    <xf numFmtId="167" fontId="17" fillId="24" borderId="12" xfId="61" applyNumberFormat="1" applyFont="1" applyFill="1" applyBorder="1" applyAlignment="1">
      <alignment horizontal="right"/>
    </xf>
    <xf numFmtId="0" fontId="17" fillId="26" borderId="10" xfId="61" applyFont="1" applyFill="1" applyBorder="1"/>
    <xf numFmtId="173" fontId="40" fillId="25" borderId="12" xfId="40" applyNumberFormat="1" applyFont="1" applyFill="1" applyBorder="1" applyAlignment="1">
      <alignment horizontal="right" indent="1"/>
    </xf>
    <xf numFmtId="173" fontId="16" fillId="25" borderId="0" xfId="61" applyNumberFormat="1" applyFont="1" applyFill="1"/>
    <xf numFmtId="174" fontId="40" fillId="25" borderId="12" xfId="40" applyNumberFormat="1" applyFont="1" applyFill="1" applyBorder="1" applyAlignment="1">
      <alignment horizontal="right" indent="1"/>
    </xf>
    <xf numFmtId="174" fontId="40" fillId="25" borderId="13" xfId="40" applyNumberFormat="1" applyFont="1" applyFill="1" applyBorder="1"/>
    <xf numFmtId="0" fontId="17" fillId="28" borderId="14" xfId="61" applyFont="1" applyFill="1" applyBorder="1" applyAlignment="1">
      <alignment horizontal="center"/>
    </xf>
    <xf numFmtId="176" fontId="18" fillId="25" borderId="0" xfId="61" applyNumberFormat="1" applyFont="1" applyFill="1"/>
    <xf numFmtId="0" fontId="56" fillId="25" borderId="0" xfId="61" applyFont="1" applyFill="1"/>
    <xf numFmtId="0" fontId="61" fillId="25" borderId="0" xfId="61" applyFont="1" applyFill="1"/>
    <xf numFmtId="176" fontId="16" fillId="25" borderId="0" xfId="61" applyNumberFormat="1" applyFont="1" applyFill="1"/>
    <xf numFmtId="0" fontId="17" fillId="28" borderId="27" xfId="61" applyFont="1" applyFill="1" applyBorder="1" applyAlignment="1">
      <alignment horizontal="center"/>
    </xf>
    <xf numFmtId="0" fontId="65" fillId="0" borderId="0" xfId="0" applyFont="1"/>
    <xf numFmtId="9" fontId="56" fillId="25" borderId="0" xfId="66" applyFont="1" applyFill="1" applyBorder="1"/>
    <xf numFmtId="41" fontId="17" fillId="0" borderId="0" xfId="78" applyNumberFormat="1" applyFont="1" applyFill="1" applyBorder="1"/>
    <xf numFmtId="9" fontId="18" fillId="24" borderId="0" xfId="66" applyFont="1" applyFill="1"/>
    <xf numFmtId="176" fontId="52" fillId="24" borderId="0" xfId="61" applyNumberFormat="1" applyFont="1" applyFill="1"/>
    <xf numFmtId="164" fontId="17" fillId="25" borderId="19" xfId="61" applyNumberFormat="1" applyFont="1" applyFill="1" applyBorder="1"/>
    <xf numFmtId="9" fontId="45" fillId="25" borderId="12" xfId="66" applyFont="1" applyFill="1" applyBorder="1"/>
    <xf numFmtId="170" fontId="17" fillId="25" borderId="12" xfId="40" applyNumberFormat="1" applyFont="1" applyFill="1" applyBorder="1" applyAlignment="1">
      <alignment horizontal="right" indent="1"/>
    </xf>
    <xf numFmtId="170" fontId="17" fillId="25" borderId="12" xfId="61" applyNumberFormat="1" applyFont="1" applyFill="1" applyBorder="1" applyAlignment="1">
      <alignment horizontal="right" indent="1"/>
    </xf>
    <xf numFmtId="0" fontId="40" fillId="24" borderId="17" xfId="61" applyFont="1" applyFill="1" applyBorder="1"/>
    <xf numFmtId="164" fontId="40" fillId="25" borderId="17" xfId="61" applyNumberFormat="1" applyFont="1" applyFill="1" applyBorder="1"/>
    <xf numFmtId="164" fontId="47" fillId="25" borderId="12" xfId="61" applyNumberFormat="1" applyFont="1" applyFill="1" applyBorder="1"/>
    <xf numFmtId="0" fontId="16" fillId="25" borderId="17" xfId="61" applyFont="1" applyFill="1" applyBorder="1"/>
    <xf numFmtId="164" fontId="46" fillId="25" borderId="17" xfId="61" applyNumberFormat="1" applyFont="1" applyFill="1" applyBorder="1"/>
    <xf numFmtId="0" fontId="17" fillId="46" borderId="14" xfId="61" applyFont="1" applyFill="1" applyBorder="1"/>
    <xf numFmtId="0" fontId="18" fillId="46" borderId="12" xfId="61" applyFont="1" applyFill="1" applyBorder="1"/>
    <xf numFmtId="0" fontId="17" fillId="46" borderId="13" xfId="61" applyFont="1" applyFill="1" applyBorder="1" applyAlignment="1">
      <alignment horizontal="center"/>
    </xf>
    <xf numFmtId="164" fontId="53" fillId="25" borderId="12" xfId="91" applyNumberFormat="1" applyFont="1" applyFill="1" applyBorder="1"/>
    <xf numFmtId="164" fontId="53" fillId="25" borderId="17" xfId="91" applyNumberFormat="1" applyFont="1" applyFill="1" applyBorder="1"/>
    <xf numFmtId="170" fontId="53" fillId="24" borderId="0" xfId="61" applyNumberFormat="1" applyFont="1" applyFill="1"/>
    <xf numFmtId="164" fontId="46" fillId="25" borderId="13" xfId="91" applyNumberFormat="1" applyFont="1" applyFill="1" applyBorder="1"/>
    <xf numFmtId="164" fontId="46" fillId="25" borderId="12" xfId="91" applyNumberFormat="1" applyFont="1" applyFill="1" applyBorder="1"/>
    <xf numFmtId="166" fontId="53" fillId="24" borderId="0" xfId="61" applyNumberFormat="1" applyFont="1" applyFill="1"/>
    <xf numFmtId="164" fontId="46" fillId="25" borderId="14" xfId="91" applyNumberFormat="1" applyFont="1" applyFill="1" applyBorder="1"/>
    <xf numFmtId="164" fontId="46" fillId="25" borderId="17" xfId="91" applyNumberFormat="1" applyFont="1" applyFill="1" applyBorder="1"/>
    <xf numFmtId="172" fontId="59" fillId="25" borderId="12" xfId="70" applyNumberFormat="1" applyFont="1" applyFill="1" applyBorder="1"/>
    <xf numFmtId="175" fontId="53" fillId="24" borderId="0" xfId="61" applyNumberFormat="1" applyFont="1" applyFill="1"/>
    <xf numFmtId="164" fontId="53" fillId="25" borderId="0" xfId="91" applyNumberFormat="1" applyFont="1" applyFill="1" applyBorder="1"/>
    <xf numFmtId="164" fontId="59" fillId="25" borderId="17" xfId="61" applyNumberFormat="1" applyFont="1" applyFill="1" applyBorder="1"/>
    <xf numFmtId="164" fontId="53" fillId="25" borderId="17" xfId="61" applyNumberFormat="1" applyFont="1" applyFill="1" applyBorder="1"/>
    <xf numFmtId="164" fontId="46" fillId="25" borderId="24" xfId="91" applyNumberFormat="1" applyFont="1" applyFill="1" applyBorder="1"/>
    <xf numFmtId="164" fontId="53" fillId="25" borderId="25" xfId="91" applyNumberFormat="1" applyFont="1" applyFill="1" applyBorder="1"/>
    <xf numFmtId="164" fontId="16" fillId="25" borderId="12" xfId="61" applyNumberFormat="1" applyFont="1" applyFill="1" applyBorder="1"/>
    <xf numFmtId="0" fontId="46" fillId="0" borderId="17" xfId="61" applyFont="1" applyBorder="1"/>
    <xf numFmtId="164" fontId="17" fillId="25" borderId="27" xfId="40" applyNumberFormat="1" applyFont="1" applyFill="1" applyBorder="1"/>
    <xf numFmtId="164" fontId="18" fillId="25" borderId="12" xfId="61" applyNumberFormat="1" applyFont="1" applyFill="1" applyBorder="1"/>
    <xf numFmtId="0" fontId="17" fillId="24" borderId="27" xfId="61" applyFont="1" applyFill="1" applyBorder="1" applyAlignment="1">
      <alignment horizontal="left"/>
    </xf>
    <xf numFmtId="0" fontId="46" fillId="24" borderId="10" xfId="61" quotePrefix="1" applyFont="1" applyFill="1" applyBorder="1"/>
    <xf numFmtId="0" fontId="46" fillId="24" borderId="28" xfId="61" applyFont="1" applyFill="1" applyBorder="1"/>
    <xf numFmtId="0" fontId="46" fillId="25" borderId="10" xfId="61" quotePrefix="1" applyFont="1" applyFill="1" applyBorder="1"/>
    <xf numFmtId="0" fontId="46" fillId="25" borderId="28" xfId="61" applyFont="1" applyFill="1" applyBorder="1"/>
    <xf numFmtId="164" fontId="53" fillId="25" borderId="19" xfId="91" applyNumberFormat="1" applyFont="1" applyFill="1" applyBorder="1"/>
    <xf numFmtId="164" fontId="53" fillId="25" borderId="14" xfId="91" applyNumberFormat="1" applyFont="1" applyFill="1" applyBorder="1"/>
    <xf numFmtId="164" fontId="53" fillId="25" borderId="27" xfId="91" applyNumberFormat="1" applyFont="1" applyFill="1" applyBorder="1"/>
    <xf numFmtId="9" fontId="45" fillId="25" borderId="17" xfId="66" applyFont="1" applyFill="1" applyBorder="1"/>
    <xf numFmtId="164" fontId="17" fillId="25" borderId="42" xfId="44" applyNumberFormat="1" applyFont="1" applyFill="1" applyBorder="1" applyAlignment="1">
      <alignment horizontal="right"/>
    </xf>
    <xf numFmtId="164" fontId="17" fillId="25" borderId="17" xfId="61" applyNumberFormat="1" applyFont="1" applyFill="1" applyBorder="1" applyAlignment="1">
      <alignment horizontal="centerContinuous"/>
    </xf>
    <xf numFmtId="164" fontId="40" fillId="25" borderId="17" xfId="40" applyNumberFormat="1" applyFont="1" applyFill="1" applyBorder="1"/>
    <xf numFmtId="0" fontId="17" fillId="24" borderId="14" xfId="61" applyFont="1" applyFill="1" applyBorder="1" applyAlignment="1">
      <alignment horizontal="left"/>
    </xf>
    <xf numFmtId="164" fontId="40" fillId="25" borderId="17" xfId="61" applyNumberFormat="1" applyFont="1" applyFill="1" applyBorder="1" applyAlignment="1">
      <alignment horizontal="centerContinuous"/>
    </xf>
    <xf numFmtId="0" fontId="17" fillId="24" borderId="17" xfId="61" applyFont="1" applyFill="1" applyBorder="1" applyAlignment="1">
      <alignment horizontal="centerContinuous"/>
    </xf>
    <xf numFmtId="166" fontId="17" fillId="25" borderId="0" xfId="61" applyNumberFormat="1" applyFont="1" applyFill="1"/>
    <xf numFmtId="0" fontId="17" fillId="26" borderId="19" xfId="61" applyFont="1" applyFill="1" applyBorder="1" applyAlignment="1">
      <alignment horizontal="center" wrapText="1"/>
    </xf>
    <xf numFmtId="0" fontId="17" fillId="46" borderId="14" xfId="61" applyFont="1" applyFill="1" applyBorder="1" applyAlignment="1">
      <alignment horizontal="center"/>
    </xf>
    <xf numFmtId="164" fontId="46" fillId="25" borderId="17" xfId="61" applyNumberFormat="1" applyFont="1" applyFill="1" applyBorder="1" applyAlignment="1">
      <alignment horizontal="left"/>
    </xf>
    <xf numFmtId="0" fontId="17" fillId="47" borderId="0" xfId="61" applyFont="1" applyFill="1" applyAlignment="1">
      <alignment horizontal="centerContinuous"/>
    </xf>
    <xf numFmtId="168" fontId="17" fillId="47" borderId="0" xfId="61" applyNumberFormat="1" applyFont="1" applyFill="1" applyAlignment="1">
      <alignment horizontal="centerContinuous"/>
    </xf>
    <xf numFmtId="164" fontId="17" fillId="47" borderId="12" xfId="61" applyNumberFormat="1" applyFont="1" applyFill="1" applyBorder="1" applyAlignment="1">
      <alignment horizontal="centerContinuous"/>
    </xf>
    <xf numFmtId="164" fontId="17" fillId="47" borderId="0" xfId="61" applyNumberFormat="1" applyFont="1" applyFill="1" applyAlignment="1">
      <alignment horizontal="centerContinuous"/>
    </xf>
    <xf numFmtId="164" fontId="16" fillId="47" borderId="0" xfId="61" applyNumberFormat="1" applyFont="1" applyFill="1"/>
    <xf numFmtId="0" fontId="40" fillId="47" borderId="0" xfId="61" applyFont="1" applyFill="1"/>
    <xf numFmtId="164" fontId="40" fillId="47" borderId="12" xfId="40" applyNumberFormat="1" applyFont="1" applyFill="1" applyBorder="1"/>
    <xf numFmtId="164" fontId="40" fillId="47" borderId="0" xfId="40" applyNumberFormat="1" applyFont="1" applyFill="1" applyBorder="1"/>
    <xf numFmtId="164" fontId="40" fillId="47" borderId="12" xfId="41" applyNumberFormat="1" applyFont="1" applyFill="1" applyBorder="1"/>
    <xf numFmtId="164" fontId="40" fillId="47" borderId="0" xfId="41" applyNumberFormat="1" applyFont="1" applyFill="1" applyBorder="1"/>
    <xf numFmtId="0" fontId="40" fillId="47" borderId="10" xfId="61" applyFont="1" applyFill="1" applyBorder="1"/>
    <xf numFmtId="169" fontId="40" fillId="47" borderId="10" xfId="61" applyNumberFormat="1" applyFont="1" applyFill="1" applyBorder="1"/>
    <xf numFmtId="164" fontId="17" fillId="47" borderId="25" xfId="41" applyNumberFormat="1" applyFont="1" applyFill="1" applyBorder="1"/>
    <xf numFmtId="164" fontId="17" fillId="47" borderId="0" xfId="41" applyNumberFormat="1" applyFont="1" applyFill="1" applyBorder="1"/>
    <xf numFmtId="169" fontId="40" fillId="47" borderId="0" xfId="61" applyNumberFormat="1" applyFont="1" applyFill="1"/>
    <xf numFmtId="0" fontId="16" fillId="47" borderId="0" xfId="61" applyFont="1" applyFill="1"/>
    <xf numFmtId="0" fontId="49" fillId="47" borderId="0" xfId="61" applyFont="1" applyFill="1"/>
    <xf numFmtId="0" fontId="40" fillId="47" borderId="12" xfId="61" applyFont="1" applyFill="1" applyBorder="1"/>
    <xf numFmtId="0" fontId="16" fillId="47" borderId="12" xfId="61" applyFont="1" applyFill="1" applyBorder="1"/>
    <xf numFmtId="0" fontId="16" fillId="47" borderId="17" xfId="61" applyFont="1" applyFill="1" applyBorder="1"/>
    <xf numFmtId="164" fontId="40" fillId="47" borderId="0" xfId="44" applyNumberFormat="1" applyFont="1" applyFill="1" applyBorder="1"/>
    <xf numFmtId="164" fontId="40" fillId="47" borderId="12" xfId="44" applyNumberFormat="1" applyFont="1" applyFill="1" applyBorder="1"/>
    <xf numFmtId="164" fontId="40" fillId="47" borderId="13" xfId="44" applyNumberFormat="1" applyFont="1" applyFill="1" applyBorder="1"/>
    <xf numFmtId="164" fontId="40" fillId="47" borderId="0" xfId="61" applyNumberFormat="1" applyFont="1" applyFill="1"/>
    <xf numFmtId="164" fontId="40" fillId="47" borderId="14" xfId="61" applyNumberFormat="1" applyFont="1" applyFill="1" applyBorder="1"/>
    <xf numFmtId="164" fontId="40" fillId="47" borderId="13" xfId="61" applyNumberFormat="1" applyFont="1" applyFill="1" applyBorder="1"/>
    <xf numFmtId="164" fontId="17" fillId="47" borderId="0" xfId="44" applyNumberFormat="1" applyFont="1" applyFill="1" applyBorder="1"/>
    <xf numFmtId="164" fontId="17" fillId="47" borderId="12" xfId="44" applyNumberFormat="1" applyFont="1" applyFill="1" applyBorder="1"/>
    <xf numFmtId="172" fontId="17" fillId="47" borderId="12" xfId="66" applyNumberFormat="1" applyFont="1" applyFill="1" applyBorder="1"/>
    <xf numFmtId="172" fontId="17" fillId="47" borderId="0" xfId="66" applyNumberFormat="1" applyFont="1" applyFill="1" applyBorder="1"/>
    <xf numFmtId="164" fontId="17" fillId="47" borderId="0" xfId="61" applyNumberFormat="1" applyFont="1" applyFill="1"/>
    <xf numFmtId="164" fontId="17" fillId="47" borderId="14" xfId="61" applyNumberFormat="1" applyFont="1" applyFill="1" applyBorder="1"/>
    <xf numFmtId="164" fontId="40" fillId="47" borderId="12" xfId="61" applyNumberFormat="1" applyFont="1" applyFill="1" applyBorder="1"/>
    <xf numFmtId="164" fontId="17" fillId="47" borderId="12" xfId="61" applyNumberFormat="1" applyFont="1" applyFill="1" applyBorder="1"/>
    <xf numFmtId="164" fontId="17" fillId="47" borderId="16" xfId="61" applyNumberFormat="1" applyFont="1" applyFill="1" applyBorder="1"/>
    <xf numFmtId="164" fontId="46" fillId="47" borderId="12" xfId="41" applyNumberFormat="1" applyFont="1" applyFill="1" applyBorder="1"/>
    <xf numFmtId="164" fontId="46" fillId="47" borderId="0" xfId="41" applyNumberFormat="1" applyFont="1" applyFill="1" applyBorder="1"/>
    <xf numFmtId="164" fontId="17" fillId="47" borderId="0" xfId="40" applyNumberFormat="1" applyFont="1" applyFill="1" applyBorder="1"/>
    <xf numFmtId="0" fontId="17" fillId="47" borderId="0" xfId="61" applyFont="1" applyFill="1"/>
    <xf numFmtId="164" fontId="18" fillId="47" borderId="0" xfId="61" applyNumberFormat="1" applyFont="1" applyFill="1"/>
    <xf numFmtId="0" fontId="17" fillId="47" borderId="26" xfId="61" applyFont="1" applyFill="1" applyBorder="1"/>
    <xf numFmtId="0" fontId="18" fillId="47" borderId="0" xfId="61" applyFont="1" applyFill="1"/>
    <xf numFmtId="164" fontId="17" fillId="47" borderId="27" xfId="40" applyNumberFormat="1" applyFont="1" applyFill="1" applyBorder="1"/>
    <xf numFmtId="0" fontId="46" fillId="47" borderId="17" xfId="61" applyFont="1" applyFill="1" applyBorder="1"/>
    <xf numFmtId="0" fontId="59" fillId="47" borderId="17" xfId="61" applyFont="1" applyFill="1" applyBorder="1"/>
    <xf numFmtId="0" fontId="41" fillId="47" borderId="0" xfId="61" applyFont="1" applyFill="1"/>
    <xf numFmtId="0" fontId="41" fillId="47" borderId="20" xfId="61" applyFont="1" applyFill="1" applyBorder="1" applyAlignment="1">
      <alignment horizontal="left"/>
    </xf>
    <xf numFmtId="0" fontId="17" fillId="47" borderId="14" xfId="61" applyFont="1" applyFill="1" applyBorder="1" applyAlignment="1">
      <alignment horizontal="left"/>
    </xf>
    <xf numFmtId="164" fontId="17" fillId="47" borderId="14" xfId="40" applyNumberFormat="1" applyFont="1" applyFill="1" applyBorder="1"/>
    <xf numFmtId="0" fontId="41" fillId="47" borderId="11" xfId="61" applyFont="1" applyFill="1" applyBorder="1" applyAlignment="1">
      <alignment horizontal="left"/>
    </xf>
    <xf numFmtId="0" fontId="41" fillId="47" borderId="43" xfId="61" applyFont="1" applyFill="1" applyBorder="1" applyAlignment="1">
      <alignment horizontal="left"/>
    </xf>
    <xf numFmtId="0" fontId="46" fillId="47" borderId="44" xfId="61" applyFont="1" applyFill="1" applyBorder="1"/>
    <xf numFmtId="0" fontId="40" fillId="47" borderId="11" xfId="61" applyFont="1" applyFill="1" applyBorder="1"/>
    <xf numFmtId="0" fontId="40" fillId="47" borderId="17" xfId="61" applyFont="1" applyFill="1" applyBorder="1"/>
    <xf numFmtId="0" fontId="17" fillId="47" borderId="17" xfId="61" applyFont="1" applyFill="1" applyBorder="1" applyAlignment="1">
      <alignment horizontal="centerContinuous"/>
    </xf>
    <xf numFmtId="0" fontId="40" fillId="47" borderId="18" xfId="61" applyFont="1" applyFill="1" applyBorder="1"/>
    <xf numFmtId="0" fontId="40" fillId="47" borderId="21" xfId="61" applyFont="1" applyFill="1" applyBorder="1"/>
    <xf numFmtId="170" fontId="18" fillId="47" borderId="12" xfId="40" applyNumberFormat="1" applyFont="1" applyFill="1" applyBorder="1"/>
    <xf numFmtId="173" fontId="18" fillId="47" borderId="12" xfId="40" applyNumberFormat="1" applyFont="1" applyFill="1" applyBorder="1"/>
    <xf numFmtId="164" fontId="17" fillId="47" borderId="12" xfId="40" applyNumberFormat="1" applyFont="1" applyFill="1" applyBorder="1"/>
    <xf numFmtId="164" fontId="46" fillId="47" borderId="13" xfId="61" applyNumberFormat="1" applyFont="1" applyFill="1" applyBorder="1"/>
    <xf numFmtId="164" fontId="46" fillId="47" borderId="14" xfId="61" applyNumberFormat="1" applyFont="1" applyFill="1" applyBorder="1"/>
    <xf numFmtId="164" fontId="53" fillId="47" borderId="12" xfId="61" applyNumberFormat="1" applyFont="1" applyFill="1" applyBorder="1"/>
    <xf numFmtId="164" fontId="17" fillId="47" borderId="19" xfId="61" applyNumberFormat="1" applyFont="1" applyFill="1" applyBorder="1"/>
    <xf numFmtId="164" fontId="45" fillId="47" borderId="12" xfId="61" applyNumberFormat="1" applyFont="1" applyFill="1" applyBorder="1"/>
    <xf numFmtId="164" fontId="17" fillId="47" borderId="19" xfId="40" applyNumberFormat="1" applyFont="1" applyFill="1" applyBorder="1"/>
    <xf numFmtId="166" fontId="16" fillId="47" borderId="0" xfId="61" applyNumberFormat="1" applyFont="1" applyFill="1"/>
    <xf numFmtId="0" fontId="17" fillId="47" borderId="28" xfId="61" applyFont="1" applyFill="1" applyBorder="1"/>
    <xf numFmtId="164" fontId="40" fillId="47" borderId="12" xfId="61" applyNumberFormat="1" applyFont="1" applyFill="1" applyBorder="1" applyAlignment="1">
      <alignment horizontal="right"/>
    </xf>
    <xf numFmtId="164" fontId="40" fillId="47" borderId="13" xfId="61" applyNumberFormat="1" applyFont="1" applyFill="1" applyBorder="1" applyAlignment="1">
      <alignment horizontal="right"/>
    </xf>
    <xf numFmtId="164" fontId="40" fillId="47" borderId="19" xfId="61" applyNumberFormat="1" applyFont="1" applyFill="1" applyBorder="1" applyAlignment="1">
      <alignment horizontal="right"/>
    </xf>
    <xf numFmtId="164" fontId="17" fillId="47" borderId="12" xfId="61" applyNumberFormat="1" applyFont="1" applyFill="1" applyBorder="1" applyAlignment="1">
      <alignment horizontal="right"/>
    </xf>
    <xf numFmtId="164" fontId="40" fillId="47" borderId="12" xfId="40" applyNumberFormat="1" applyFont="1" applyFill="1" applyBorder="1" applyAlignment="1">
      <alignment horizontal="right"/>
    </xf>
    <xf numFmtId="164" fontId="40" fillId="47" borderId="13" xfId="40" applyNumberFormat="1" applyFont="1" applyFill="1" applyBorder="1"/>
    <xf numFmtId="164" fontId="40" fillId="47" borderId="13" xfId="40" applyNumberFormat="1" applyFont="1" applyFill="1" applyBorder="1" applyAlignment="1">
      <alignment horizontal="right"/>
    </xf>
    <xf numFmtId="170" fontId="16" fillId="47" borderId="0" xfId="61" applyNumberFormat="1" applyFont="1" applyFill="1"/>
    <xf numFmtId="170" fontId="40" fillId="47" borderId="12" xfId="40" applyNumberFormat="1" applyFont="1" applyFill="1" applyBorder="1" applyAlignment="1">
      <alignment horizontal="right" indent="1"/>
    </xf>
    <xf numFmtId="170" fontId="40" fillId="47" borderId="13" xfId="40" applyNumberFormat="1" applyFont="1" applyFill="1" applyBorder="1" applyAlignment="1">
      <alignment horizontal="right" indent="1"/>
    </xf>
    <xf numFmtId="170" fontId="18" fillId="47" borderId="0" xfId="61" applyNumberFormat="1" applyFont="1" applyFill="1"/>
    <xf numFmtId="170" fontId="17" fillId="47" borderId="12" xfId="40" applyNumberFormat="1" applyFont="1" applyFill="1" applyBorder="1" applyAlignment="1">
      <alignment horizontal="right" indent="1"/>
    </xf>
    <xf numFmtId="170" fontId="52" fillId="47" borderId="0" xfId="61" applyNumberFormat="1" applyFont="1" applyFill="1"/>
    <xf numFmtId="1" fontId="40" fillId="47" borderId="12" xfId="40" applyNumberFormat="1" applyFont="1" applyFill="1" applyBorder="1" applyAlignment="1">
      <alignment horizontal="right" indent="1"/>
    </xf>
    <xf numFmtId="174" fontId="40" fillId="47" borderId="12" xfId="40" applyNumberFormat="1" applyFont="1" applyFill="1" applyBorder="1" applyAlignment="1">
      <alignment horizontal="right" indent="1"/>
    </xf>
    <xf numFmtId="1" fontId="54" fillId="47" borderId="0" xfId="61" applyNumberFormat="1" applyFont="1" applyFill="1"/>
    <xf numFmtId="170" fontId="40" fillId="47" borderId="12" xfId="40" applyNumberFormat="1" applyFont="1" applyFill="1" applyBorder="1"/>
    <xf numFmtId="170" fontId="17" fillId="47" borderId="0" xfId="40" applyNumberFormat="1" applyFont="1" applyFill="1" applyBorder="1"/>
    <xf numFmtId="170" fontId="17" fillId="47" borderId="12" xfId="40" applyNumberFormat="1" applyFont="1" applyFill="1" applyBorder="1"/>
    <xf numFmtId="164" fontId="17" fillId="25" borderId="12" xfId="91" applyNumberFormat="1" applyFont="1" applyFill="1" applyBorder="1"/>
    <xf numFmtId="164" fontId="40" fillId="25" borderId="12" xfId="91" applyNumberFormat="1" applyFont="1" applyFill="1" applyBorder="1"/>
    <xf numFmtId="164" fontId="40" fillId="25" borderId="14" xfId="91" applyNumberFormat="1" applyFont="1" applyFill="1" applyBorder="1"/>
    <xf numFmtId="164" fontId="40" fillId="25" borderId="13" xfId="91" applyNumberFormat="1" applyFont="1" applyFill="1" applyBorder="1"/>
    <xf numFmtId="172" fontId="45" fillId="25" borderId="12" xfId="70" applyNumberFormat="1" applyFont="1" applyFill="1" applyBorder="1"/>
    <xf numFmtId="164" fontId="17" fillId="25" borderId="19" xfId="91" applyNumberFormat="1" applyFont="1" applyFill="1" applyBorder="1"/>
    <xf numFmtId="164" fontId="53" fillId="25" borderId="15" xfId="91" applyNumberFormat="1" applyFont="1" applyFill="1" applyBorder="1"/>
    <xf numFmtId="166" fontId="53" fillId="25" borderId="0" xfId="61" applyNumberFormat="1" applyFont="1" applyFill="1"/>
    <xf numFmtId="0" fontId="61" fillId="25" borderId="12" xfId="61" applyFont="1" applyFill="1" applyBorder="1"/>
    <xf numFmtId="164" fontId="45" fillId="25" borderId="11" xfId="61" applyNumberFormat="1" applyFont="1" applyFill="1" applyBorder="1"/>
    <xf numFmtId="164" fontId="53" fillId="25" borderId="0" xfId="61" applyNumberFormat="1" applyFont="1" applyFill="1"/>
    <xf numFmtId="164" fontId="59" fillId="25" borderId="0" xfId="61" applyNumberFormat="1" applyFont="1" applyFill="1"/>
    <xf numFmtId="164" fontId="46" fillId="25" borderId="0" xfId="61" applyNumberFormat="1" applyFont="1" applyFill="1"/>
    <xf numFmtId="164" fontId="17" fillId="25" borderId="13" xfId="91" applyNumberFormat="1" applyFont="1" applyFill="1" applyBorder="1"/>
    <xf numFmtId="164" fontId="46" fillId="25" borderId="10" xfId="61" applyNumberFormat="1" applyFont="1" applyFill="1" applyBorder="1"/>
    <xf numFmtId="164" fontId="40" fillId="47" borderId="14" xfId="40" applyNumberFormat="1" applyFont="1" applyFill="1" applyBorder="1"/>
    <xf numFmtId="164" fontId="46" fillId="47" borderId="13" xfId="61" applyNumberFormat="1" applyFont="1" applyFill="1" applyBorder="1" applyAlignment="1">
      <alignment horizontal="right"/>
    </xf>
    <xf numFmtId="164" fontId="40" fillId="47" borderId="17" xfId="61" applyNumberFormat="1" applyFont="1" applyFill="1" applyBorder="1"/>
    <xf numFmtId="164" fontId="45" fillId="47" borderId="17" xfId="61" applyNumberFormat="1" applyFont="1" applyFill="1" applyBorder="1"/>
    <xf numFmtId="164" fontId="40" fillId="47" borderId="45" xfId="61" applyNumberFormat="1" applyFont="1" applyFill="1" applyBorder="1"/>
    <xf numFmtId="164" fontId="40" fillId="47" borderId="44" xfId="61" applyNumberFormat="1" applyFont="1" applyFill="1" applyBorder="1"/>
    <xf numFmtId="164" fontId="17" fillId="47" borderId="42" xfId="44" applyNumberFormat="1" applyFont="1" applyFill="1" applyBorder="1" applyAlignment="1">
      <alignment horizontal="right"/>
    </xf>
    <xf numFmtId="164" fontId="17" fillId="47" borderId="17" xfId="61" applyNumberFormat="1" applyFont="1" applyFill="1" applyBorder="1"/>
    <xf numFmtId="164" fontId="17" fillId="47" borderId="17" xfId="61" applyNumberFormat="1" applyFont="1" applyFill="1" applyBorder="1" applyAlignment="1">
      <alignment horizontal="centerContinuous"/>
    </xf>
    <xf numFmtId="164" fontId="40" fillId="47" borderId="17" xfId="40" applyNumberFormat="1" applyFont="1" applyFill="1" applyBorder="1"/>
    <xf numFmtId="164" fontId="17" fillId="47" borderId="31" xfId="40" applyNumberFormat="1" applyFont="1" applyFill="1" applyBorder="1"/>
    <xf numFmtId="0" fontId="83" fillId="47" borderId="17" xfId="61" applyFont="1" applyFill="1" applyBorder="1"/>
    <xf numFmtId="170" fontId="46" fillId="47" borderId="13" xfId="61" applyNumberFormat="1" applyFont="1" applyFill="1" applyBorder="1"/>
    <xf numFmtId="170" fontId="46" fillId="47" borderId="14" xfId="61" applyNumberFormat="1" applyFont="1" applyFill="1" applyBorder="1"/>
    <xf numFmtId="170" fontId="53" fillId="47" borderId="12" xfId="61" applyNumberFormat="1" applyFont="1" applyFill="1" applyBorder="1"/>
    <xf numFmtId="170" fontId="56" fillId="47" borderId="0" xfId="61" applyNumberFormat="1" applyFont="1" applyFill="1"/>
    <xf numFmtId="170" fontId="45" fillId="47" borderId="12" xfId="40" applyNumberFormat="1" applyFont="1" applyFill="1" applyBorder="1"/>
    <xf numFmtId="170" fontId="17" fillId="47" borderId="19" xfId="61" applyNumberFormat="1" applyFont="1" applyFill="1" applyBorder="1"/>
    <xf numFmtId="170" fontId="40" fillId="47" borderId="14" xfId="61" applyNumberFormat="1" applyFont="1" applyFill="1" applyBorder="1"/>
    <xf numFmtId="170" fontId="40" fillId="47" borderId="12" xfId="61" applyNumberFormat="1" applyFont="1" applyFill="1" applyBorder="1"/>
    <xf numFmtId="170" fontId="17" fillId="47" borderId="34" xfId="61" applyNumberFormat="1" applyFont="1" applyFill="1" applyBorder="1"/>
    <xf numFmtId="170" fontId="45" fillId="47" borderId="12" xfId="61" applyNumberFormat="1" applyFont="1" applyFill="1" applyBorder="1"/>
    <xf numFmtId="170" fontId="17" fillId="47" borderId="12" xfId="61" applyNumberFormat="1" applyFont="1" applyFill="1" applyBorder="1"/>
    <xf numFmtId="170" fontId="17" fillId="47" borderId="12" xfId="61" applyNumberFormat="1" applyFont="1" applyFill="1" applyBorder="1" applyAlignment="1">
      <alignment horizontal="centerContinuous"/>
    </xf>
    <xf numFmtId="170" fontId="54" fillId="47" borderId="0" xfId="61" applyNumberFormat="1" applyFont="1" applyFill="1"/>
    <xf numFmtId="0" fontId="17" fillId="26" borderId="27" xfId="61" applyFont="1" applyFill="1" applyBorder="1" applyAlignment="1">
      <alignment horizontal="center"/>
    </xf>
    <xf numFmtId="0" fontId="17" fillId="26" borderId="28" xfId="61" applyFont="1" applyFill="1" applyBorder="1" applyAlignment="1">
      <alignment horizontal="center"/>
    </xf>
    <xf numFmtId="164" fontId="46" fillId="25" borderId="28" xfId="91" applyNumberFormat="1" applyFont="1" applyFill="1" applyBorder="1"/>
    <xf numFmtId="172" fontId="59" fillId="25" borderId="17" xfId="70" applyNumberFormat="1" applyFont="1" applyFill="1" applyBorder="1"/>
    <xf numFmtId="164" fontId="53" fillId="25" borderId="29" xfId="91" applyNumberFormat="1" applyFont="1" applyFill="1" applyBorder="1"/>
    <xf numFmtId="164" fontId="45" fillId="25" borderId="17" xfId="61" applyNumberFormat="1" applyFont="1" applyFill="1" applyBorder="1"/>
    <xf numFmtId="164" fontId="46" fillId="25" borderId="28" xfId="61" applyNumberFormat="1" applyFont="1" applyFill="1" applyBorder="1"/>
    <xf numFmtId="164" fontId="53" fillId="25" borderId="28" xfId="91" applyNumberFormat="1" applyFont="1" applyFill="1" applyBorder="1"/>
    <xf numFmtId="0" fontId="17" fillId="24" borderId="17" xfId="61" applyFont="1" applyFill="1" applyBorder="1"/>
    <xf numFmtId="0" fontId="17" fillId="25" borderId="17" xfId="61" applyFont="1" applyFill="1" applyBorder="1"/>
    <xf numFmtId="0" fontId="40" fillId="47" borderId="28" xfId="61" applyFont="1" applyFill="1" applyBorder="1"/>
    <xf numFmtId="172" fontId="59" fillId="47" borderId="12" xfId="66" applyNumberFormat="1" applyFont="1" applyFill="1" applyBorder="1"/>
    <xf numFmtId="172" fontId="45" fillId="47" borderId="12" xfId="66" applyNumberFormat="1" applyFont="1" applyFill="1" applyBorder="1"/>
    <xf numFmtId="0" fontId="17" fillId="26" borderId="0" xfId="61" applyFont="1" applyFill="1" applyAlignment="1">
      <alignment horizontal="center"/>
    </xf>
    <xf numFmtId="0" fontId="16" fillId="24" borderId="17" xfId="61" applyFont="1" applyFill="1" applyBorder="1"/>
    <xf numFmtId="164" fontId="59" fillId="25" borderId="12" xfId="61" quotePrefix="1" applyNumberFormat="1" applyFont="1" applyFill="1" applyBorder="1" applyAlignment="1">
      <alignment horizontal="right"/>
    </xf>
    <xf numFmtId="172" fontId="45" fillId="47" borderId="17" xfId="66" applyNumberFormat="1" applyFont="1" applyFill="1" applyBorder="1"/>
    <xf numFmtId="9" fontId="45" fillId="47" borderId="12" xfId="66" applyFont="1" applyFill="1" applyBorder="1"/>
    <xf numFmtId="170" fontId="18" fillId="24" borderId="0" xfId="61" applyNumberFormat="1" applyFont="1" applyFill="1"/>
    <xf numFmtId="164" fontId="53" fillId="47" borderId="12" xfId="40" applyNumberFormat="1" applyFont="1" applyFill="1" applyBorder="1"/>
    <xf numFmtId="164" fontId="46" fillId="47" borderId="13" xfId="40" applyNumberFormat="1" applyFont="1" applyFill="1" applyBorder="1"/>
    <xf numFmtId="164" fontId="46" fillId="47" borderId="14" xfId="40" applyNumberFormat="1" applyFont="1" applyFill="1" applyBorder="1"/>
    <xf numFmtId="164" fontId="46" fillId="47" borderId="12" xfId="40" applyNumberFormat="1" applyFont="1" applyFill="1" applyBorder="1"/>
    <xf numFmtId="164" fontId="53" fillId="47" borderId="19" xfId="61" applyNumberFormat="1" applyFont="1" applyFill="1" applyBorder="1"/>
    <xf numFmtId="164" fontId="59" fillId="47" borderId="17" xfId="61" applyNumberFormat="1" applyFont="1" applyFill="1" applyBorder="1"/>
    <xf numFmtId="164" fontId="59" fillId="47" borderId="12" xfId="61" applyNumberFormat="1" applyFont="1" applyFill="1" applyBorder="1"/>
    <xf numFmtId="164" fontId="46" fillId="47" borderId="17" xfId="61" applyNumberFormat="1" applyFont="1" applyFill="1" applyBorder="1"/>
    <xf numFmtId="164" fontId="46" fillId="47" borderId="12" xfId="61" applyNumberFormat="1" applyFont="1" applyFill="1" applyBorder="1"/>
    <xf numFmtId="164" fontId="46" fillId="47" borderId="12" xfId="61" applyNumberFormat="1" applyFont="1" applyFill="1" applyBorder="1" applyAlignment="1">
      <alignment horizontal="right"/>
    </xf>
    <xf numFmtId="0" fontId="17" fillId="26" borderId="18" xfId="61" applyFont="1" applyFill="1" applyBorder="1" applyAlignment="1">
      <alignment horizontal="center"/>
    </xf>
    <xf numFmtId="9" fontId="17" fillId="47" borderId="0" xfId="66" applyFont="1" applyFill="1" applyBorder="1"/>
    <xf numFmtId="0" fontId="83" fillId="47" borderId="0" xfId="61" applyFont="1" applyFill="1"/>
    <xf numFmtId="1" fontId="83" fillId="47" borderId="17" xfId="61" applyNumberFormat="1" applyFont="1" applyFill="1" applyBorder="1"/>
    <xf numFmtId="0" fontId="16" fillId="24" borderId="0" xfId="61" applyFont="1" applyFill="1" applyAlignment="1">
      <alignment wrapText="1"/>
    </xf>
    <xf numFmtId="0" fontId="47" fillId="47" borderId="0" xfId="61" applyFont="1" applyFill="1"/>
    <xf numFmtId="0" fontId="17" fillId="47" borderId="15" xfId="61" applyFont="1" applyFill="1" applyBorder="1"/>
    <xf numFmtId="0" fontId="40" fillId="47" borderId="0" xfId="61" applyFont="1" applyFill="1" applyAlignment="1">
      <alignment horizontal="left" indent="1"/>
    </xf>
    <xf numFmtId="0" fontId="17" fillId="47" borderId="22" xfId="61" applyFont="1" applyFill="1" applyBorder="1"/>
    <xf numFmtId="0" fontId="17" fillId="47" borderId="0" xfId="61" applyFont="1" applyFill="1" applyAlignment="1">
      <alignment horizontal="left"/>
    </xf>
    <xf numFmtId="164" fontId="17" fillId="47" borderId="12" xfId="61" applyNumberFormat="1" applyFont="1" applyFill="1" applyBorder="1" applyAlignment="1">
      <alignment horizontal="left"/>
    </xf>
    <xf numFmtId="164" fontId="17" fillId="47" borderId="0" xfId="61" applyNumberFormat="1" applyFont="1" applyFill="1" applyAlignment="1">
      <alignment horizontal="left"/>
    </xf>
    <xf numFmtId="0" fontId="46" fillId="47" borderId="0" xfId="61" applyFont="1" applyFill="1"/>
    <xf numFmtId="1" fontId="40" fillId="47" borderId="0" xfId="61" applyNumberFormat="1" applyFont="1" applyFill="1"/>
    <xf numFmtId="164" fontId="17" fillId="47" borderId="23" xfId="41" applyNumberFormat="1" applyFont="1" applyFill="1" applyBorder="1"/>
    <xf numFmtId="0" fontId="46" fillId="47" borderId="0" xfId="60" applyFont="1" applyFill="1"/>
    <xf numFmtId="176" fontId="40" fillId="47" borderId="0" xfId="61" applyNumberFormat="1" applyFont="1" applyFill="1"/>
    <xf numFmtId="172" fontId="45" fillId="47" borderId="0" xfId="66" applyNumberFormat="1" applyFont="1" applyFill="1" applyBorder="1"/>
    <xf numFmtId="164" fontId="45" fillId="47" borderId="0" xfId="61" applyNumberFormat="1" applyFont="1" applyFill="1"/>
    <xf numFmtId="164" fontId="40" fillId="47" borderId="0" xfId="61" applyNumberFormat="1" applyFont="1" applyFill="1" applyAlignment="1">
      <alignment horizontal="right"/>
    </xf>
    <xf numFmtId="1" fontId="46" fillId="47" borderId="17" xfId="61" applyNumberFormat="1" applyFont="1" applyFill="1" applyBorder="1"/>
    <xf numFmtId="164" fontId="46" fillId="47" borderId="0" xfId="61" applyNumberFormat="1" applyFont="1" applyFill="1"/>
    <xf numFmtId="164" fontId="53" fillId="47" borderId="31" xfId="44" applyNumberFormat="1" applyFont="1" applyFill="1" applyBorder="1" applyAlignment="1">
      <alignment horizontal="right"/>
    </xf>
    <xf numFmtId="164" fontId="53" fillId="47" borderId="25" xfId="44" applyNumberFormat="1" applyFont="1" applyFill="1" applyBorder="1" applyAlignment="1">
      <alignment horizontal="right"/>
    </xf>
    <xf numFmtId="164" fontId="17" fillId="47" borderId="0" xfId="44" applyNumberFormat="1" applyFont="1" applyFill="1" applyBorder="1" applyAlignment="1">
      <alignment horizontal="right"/>
    </xf>
    <xf numFmtId="164" fontId="17" fillId="47" borderId="25" xfId="44" applyNumberFormat="1" applyFont="1" applyFill="1" applyBorder="1" applyAlignment="1">
      <alignment horizontal="right"/>
    </xf>
    <xf numFmtId="164" fontId="53" fillId="47" borderId="17" xfId="61" applyNumberFormat="1" applyFont="1" applyFill="1" applyBorder="1"/>
    <xf numFmtId="164" fontId="53" fillId="47" borderId="17" xfId="61" applyNumberFormat="1" applyFont="1" applyFill="1" applyBorder="1" applyAlignment="1">
      <alignment horizontal="centerContinuous"/>
    </xf>
    <xf numFmtId="164" fontId="53" fillId="47" borderId="12" xfId="61" applyNumberFormat="1" applyFont="1" applyFill="1" applyBorder="1" applyAlignment="1">
      <alignment horizontal="centerContinuous"/>
    </xf>
    <xf numFmtId="164" fontId="46" fillId="47" borderId="17" xfId="40" applyNumberFormat="1" applyFont="1" applyFill="1" applyBorder="1"/>
    <xf numFmtId="164" fontId="46" fillId="47" borderId="33" xfId="40" applyNumberFormat="1" applyFont="1" applyFill="1" applyBorder="1"/>
    <xf numFmtId="164" fontId="46" fillId="47" borderId="24" xfId="40" applyNumberFormat="1" applyFont="1" applyFill="1" applyBorder="1"/>
    <xf numFmtId="164" fontId="40" fillId="47" borderId="24" xfId="40" applyNumberFormat="1" applyFont="1" applyFill="1" applyBorder="1"/>
    <xf numFmtId="164" fontId="53" fillId="47" borderId="31" xfId="40" applyNumberFormat="1" applyFont="1" applyFill="1" applyBorder="1"/>
    <xf numFmtId="164" fontId="53" fillId="47" borderId="25" xfId="40" applyNumberFormat="1" applyFont="1" applyFill="1" applyBorder="1"/>
    <xf numFmtId="164" fontId="17" fillId="47" borderId="25" xfId="40" applyNumberFormat="1" applyFont="1" applyFill="1" applyBorder="1"/>
    <xf numFmtId="0" fontId="52" fillId="47" borderId="0" xfId="61" applyFont="1" applyFill="1"/>
    <xf numFmtId="0" fontId="46" fillId="47" borderId="10" xfId="61" applyFont="1" applyFill="1" applyBorder="1"/>
    <xf numFmtId="0" fontId="53" fillId="47" borderId="0" xfId="61" applyFont="1" applyFill="1"/>
    <xf numFmtId="166" fontId="56" fillId="47" borderId="0" xfId="61" applyNumberFormat="1" applyFont="1" applyFill="1"/>
    <xf numFmtId="0" fontId="56" fillId="47" borderId="0" xfId="61" applyFont="1" applyFill="1"/>
    <xf numFmtId="164" fontId="17" fillId="47" borderId="20" xfId="40" applyNumberFormat="1" applyFont="1" applyFill="1" applyBorder="1"/>
    <xf numFmtId="164" fontId="40" fillId="47" borderId="11" xfId="61" applyNumberFormat="1" applyFont="1" applyFill="1" applyBorder="1"/>
    <xf numFmtId="172" fontId="40" fillId="47" borderId="11" xfId="66" applyNumberFormat="1" applyFont="1" applyFill="1" applyBorder="1"/>
    <xf numFmtId="172" fontId="40" fillId="47" borderId="12" xfId="66" applyNumberFormat="1" applyFont="1" applyFill="1" applyBorder="1"/>
    <xf numFmtId="164" fontId="40" fillId="47" borderId="18" xfId="61" applyNumberFormat="1" applyFont="1" applyFill="1" applyBorder="1"/>
    <xf numFmtId="164" fontId="17" fillId="47" borderId="46" xfId="44" applyNumberFormat="1" applyFont="1" applyFill="1" applyBorder="1" applyAlignment="1">
      <alignment horizontal="right"/>
    </xf>
    <xf numFmtId="164" fontId="17" fillId="47" borderId="23" xfId="44" applyNumberFormat="1" applyFont="1" applyFill="1" applyBorder="1" applyAlignment="1">
      <alignment horizontal="right"/>
    </xf>
    <xf numFmtId="164" fontId="17" fillId="47" borderId="11" xfId="61" applyNumberFormat="1" applyFont="1" applyFill="1" applyBorder="1"/>
    <xf numFmtId="164" fontId="17" fillId="47" borderId="11" xfId="61" applyNumberFormat="1" applyFont="1" applyFill="1" applyBorder="1" applyAlignment="1">
      <alignment horizontal="centerContinuous"/>
    </xf>
    <xf numFmtId="164" fontId="40" fillId="47" borderId="11" xfId="61" applyNumberFormat="1" applyFont="1" applyFill="1" applyBorder="1" applyAlignment="1">
      <alignment horizontal="centerContinuous"/>
    </xf>
    <xf numFmtId="164" fontId="40" fillId="47" borderId="11" xfId="40" applyNumberFormat="1" applyFont="1" applyFill="1" applyBorder="1"/>
    <xf numFmtId="164" fontId="17" fillId="47" borderId="47" xfId="40" applyNumberFormat="1" applyFont="1" applyFill="1" applyBorder="1"/>
    <xf numFmtId="0" fontId="46" fillId="47" borderId="0" xfId="60" applyFont="1" applyFill="1" applyAlignment="1">
      <alignment vertical="center"/>
    </xf>
    <xf numFmtId="164" fontId="45" fillId="47" borderId="12" xfId="40" applyNumberFormat="1" applyFont="1" applyFill="1" applyBorder="1"/>
    <xf numFmtId="0" fontId="41" fillId="47" borderId="27" xfId="61" applyFont="1" applyFill="1" applyBorder="1" applyAlignment="1">
      <alignment horizontal="left"/>
    </xf>
    <xf numFmtId="0" fontId="84" fillId="47" borderId="17" xfId="61" applyFont="1" applyFill="1" applyBorder="1"/>
    <xf numFmtId="164" fontId="17" fillId="47" borderId="34" xfId="61" applyNumberFormat="1" applyFont="1" applyFill="1" applyBorder="1"/>
    <xf numFmtId="0" fontId="41" fillId="47" borderId="17" xfId="61" applyFont="1" applyFill="1" applyBorder="1" applyAlignment="1">
      <alignment horizontal="left"/>
    </xf>
    <xf numFmtId="0" fontId="53" fillId="47" borderId="17" xfId="61" applyFont="1" applyFill="1" applyBorder="1"/>
    <xf numFmtId="174" fontId="40" fillId="47" borderId="13" xfId="40" applyNumberFormat="1" applyFont="1" applyFill="1" applyBorder="1"/>
    <xf numFmtId="174" fontId="16" fillId="47" borderId="0" xfId="61" applyNumberFormat="1" applyFont="1" applyFill="1"/>
    <xf numFmtId="0" fontId="40" fillId="25" borderId="0" xfId="61" quotePrefix="1" applyFont="1" applyFill="1" applyAlignment="1">
      <alignment horizontal="left"/>
    </xf>
    <xf numFmtId="0" fontId="40" fillId="25" borderId="0" xfId="61" quotePrefix="1" applyFont="1" applyFill="1" applyAlignment="1">
      <alignment horizontal="left" vertical="top"/>
    </xf>
    <xf numFmtId="0" fontId="40" fillId="25" borderId="0" xfId="61" applyFont="1" applyFill="1" applyAlignment="1">
      <alignment vertical="top"/>
    </xf>
    <xf numFmtId="0" fontId="40" fillId="25" borderId="0" xfId="61" applyFont="1" applyFill="1" applyAlignment="1">
      <alignment vertical="top" wrapText="1"/>
    </xf>
    <xf numFmtId="0" fontId="40" fillId="25" borderId="0" xfId="61" quotePrefix="1" applyFont="1" applyFill="1" applyAlignment="1">
      <alignment vertical="top"/>
    </xf>
    <xf numFmtId="15" fontId="16" fillId="25" borderId="0" xfId="61" applyNumberFormat="1" applyFont="1" applyFill="1"/>
    <xf numFmtId="170" fontId="40" fillId="25" borderId="0" xfId="40" applyNumberFormat="1" applyFont="1" applyFill="1" applyBorder="1"/>
    <xf numFmtId="170" fontId="17" fillId="25" borderId="0" xfId="40" applyNumberFormat="1" applyFont="1" applyFill="1" applyBorder="1"/>
    <xf numFmtId="170" fontId="40" fillId="25" borderId="0" xfId="40" applyNumberFormat="1" applyFont="1" applyFill="1" applyBorder="1" applyAlignment="1">
      <alignment horizontal="right"/>
    </xf>
    <xf numFmtId="0" fontId="17" fillId="25" borderId="28" xfId="61" applyFont="1" applyFill="1" applyBorder="1"/>
    <xf numFmtId="0" fontId="83" fillId="25" borderId="0" xfId="60" applyFont="1" applyFill="1" applyAlignment="1">
      <alignment horizontal="left" vertical="center"/>
    </xf>
    <xf numFmtId="164" fontId="40" fillId="25" borderId="12" xfId="41" applyNumberFormat="1" applyFont="1" applyFill="1" applyBorder="1"/>
    <xf numFmtId="170" fontId="16" fillId="25" borderId="0" xfId="61" applyNumberFormat="1" applyFont="1" applyFill="1"/>
    <xf numFmtId="170" fontId="40" fillId="25" borderId="12" xfId="61" applyNumberFormat="1" applyFont="1" applyFill="1" applyBorder="1" applyAlignment="1">
      <alignment horizontal="right" indent="1"/>
    </xf>
    <xf numFmtId="0" fontId="86" fillId="25" borderId="0" xfId="61" applyFont="1" applyFill="1"/>
    <xf numFmtId="0" fontId="83" fillId="25" borderId="0" xfId="61" applyFont="1" applyFill="1"/>
    <xf numFmtId="0" fontId="16" fillId="24" borderId="0" xfId="61" applyFont="1" applyFill="1" applyAlignment="1">
      <alignment vertical="center"/>
    </xf>
    <xf numFmtId="164" fontId="40" fillId="0" borderId="12" xfId="41" applyNumberFormat="1" applyFont="1" applyFill="1" applyBorder="1"/>
    <xf numFmtId="0" fontId="17" fillId="31" borderId="12" xfId="0" applyFont="1" applyFill="1" applyBorder="1"/>
    <xf numFmtId="3" fontId="17" fillId="31" borderId="12" xfId="0" applyNumberFormat="1" applyFont="1" applyFill="1" applyBorder="1"/>
    <xf numFmtId="0" fontId="40" fillId="31" borderId="12" xfId="0" applyFont="1" applyFill="1" applyBorder="1"/>
    <xf numFmtId="3" fontId="40" fillId="31" borderId="12" xfId="0" applyNumberFormat="1" applyFont="1" applyFill="1" applyBorder="1"/>
    <xf numFmtId="3" fontId="40" fillId="31" borderId="14" xfId="0" applyNumberFormat="1" applyFont="1" applyFill="1" applyBorder="1"/>
    <xf numFmtId="0" fontId="40" fillId="31" borderId="13" xfId="0" applyFont="1" applyFill="1" applyBorder="1"/>
    <xf numFmtId="0" fontId="45" fillId="31" borderId="12" xfId="0" applyFont="1" applyFill="1" applyBorder="1"/>
    <xf numFmtId="0" fontId="40" fillId="31" borderId="19" xfId="0" applyFont="1" applyFill="1" applyBorder="1"/>
    <xf numFmtId="0" fontId="86" fillId="31" borderId="12" xfId="0" applyFont="1" applyFill="1" applyBorder="1"/>
    <xf numFmtId="3" fontId="86" fillId="31" borderId="12" xfId="0" applyNumberFormat="1" applyFont="1" applyFill="1" applyBorder="1"/>
    <xf numFmtId="0" fontId="87" fillId="31" borderId="12" xfId="0" applyFont="1" applyFill="1" applyBorder="1"/>
    <xf numFmtId="3" fontId="87" fillId="31" borderId="12" xfId="0" applyNumberFormat="1" applyFont="1" applyFill="1" applyBorder="1"/>
    <xf numFmtId="0" fontId="83" fillId="31" borderId="12" xfId="0" applyFont="1" applyFill="1" applyBorder="1"/>
    <xf numFmtId="3" fontId="83" fillId="31" borderId="12" xfId="0" applyNumberFormat="1" applyFont="1" applyFill="1" applyBorder="1"/>
    <xf numFmtId="3" fontId="45" fillId="31" borderId="12" xfId="0" applyNumberFormat="1" applyFont="1" applyFill="1" applyBorder="1"/>
    <xf numFmtId="0" fontId="17" fillId="31" borderId="45" xfId="0" applyFont="1" applyFill="1" applyBorder="1"/>
    <xf numFmtId="0" fontId="86" fillId="31" borderId="13" xfId="0" applyFont="1" applyFill="1" applyBorder="1"/>
    <xf numFmtId="164" fontId="46" fillId="25" borderId="45" xfId="91" applyNumberFormat="1" applyFont="1" applyFill="1" applyBorder="1"/>
    <xf numFmtId="0" fontId="40" fillId="31" borderId="0" xfId="0" applyFont="1" applyFill="1"/>
    <xf numFmtId="0" fontId="14" fillId="31" borderId="0" xfId="0" applyFont="1" applyFill="1"/>
    <xf numFmtId="0" fontId="16" fillId="31" borderId="0" xfId="0" applyFont="1" applyFill="1"/>
    <xf numFmtId="0" fontId="40" fillId="0" borderId="0" xfId="0" applyFont="1"/>
    <xf numFmtId="0" fontId="48" fillId="31" borderId="0" xfId="0" applyFont="1" applyFill="1"/>
    <xf numFmtId="0" fontId="50" fillId="0" borderId="0" xfId="0" applyFont="1"/>
    <xf numFmtId="0" fontId="50" fillId="31" borderId="0" xfId="0" applyFont="1" applyFill="1"/>
    <xf numFmtId="0" fontId="91" fillId="48" borderId="19" xfId="0" applyFont="1" applyFill="1" applyBorder="1"/>
    <xf numFmtId="0" fontId="18" fillId="49" borderId="14" xfId="0" applyFont="1" applyFill="1" applyBorder="1"/>
    <xf numFmtId="0" fontId="18" fillId="49" borderId="27" xfId="0" applyFont="1" applyFill="1" applyBorder="1"/>
    <xf numFmtId="0" fontId="17" fillId="48" borderId="13" xfId="0" applyFont="1" applyFill="1" applyBorder="1"/>
    <xf numFmtId="0" fontId="91" fillId="31" borderId="17" xfId="0" applyFont="1" applyFill="1" applyBorder="1"/>
    <xf numFmtId="0" fontId="40" fillId="31" borderId="17" xfId="0" applyFont="1" applyFill="1" applyBorder="1"/>
    <xf numFmtId="0" fontId="17" fillId="31" borderId="17" xfId="0" applyFont="1" applyFill="1" applyBorder="1"/>
    <xf numFmtId="3" fontId="17" fillId="31" borderId="17" xfId="0" applyNumberFormat="1" applyFont="1" applyFill="1" applyBorder="1"/>
    <xf numFmtId="0" fontId="86" fillId="31" borderId="17" xfId="0" applyFont="1" applyFill="1" applyBorder="1"/>
    <xf numFmtId="3" fontId="86" fillId="31" borderId="17" xfId="0" applyNumberFormat="1" applyFont="1" applyFill="1" applyBorder="1"/>
    <xf numFmtId="0" fontId="83" fillId="31" borderId="0" xfId="0" applyFont="1" applyFill="1"/>
    <xf numFmtId="0" fontId="17" fillId="0" borderId="12" xfId="0" applyFont="1" applyBorder="1"/>
    <xf numFmtId="0" fontId="40" fillId="0" borderId="12" xfId="0" applyFont="1" applyBorder="1"/>
    <xf numFmtId="0" fontId="83" fillId="31" borderId="17" xfId="0" applyFont="1" applyFill="1" applyBorder="1"/>
    <xf numFmtId="3" fontId="83" fillId="31" borderId="17" xfId="0" applyNumberFormat="1" applyFont="1" applyFill="1" applyBorder="1"/>
    <xf numFmtId="3" fontId="40" fillId="31" borderId="17" xfId="0" applyNumberFormat="1" applyFont="1" applyFill="1" applyBorder="1"/>
    <xf numFmtId="0" fontId="92" fillId="0" borderId="12" xfId="0" applyFont="1" applyBorder="1"/>
    <xf numFmtId="0" fontId="87" fillId="31" borderId="17" xfId="0" applyFont="1" applyFill="1" applyBorder="1"/>
    <xf numFmtId="3" fontId="87" fillId="31" borderId="17" xfId="0" applyNumberFormat="1" applyFont="1" applyFill="1" applyBorder="1"/>
    <xf numFmtId="0" fontId="45" fillId="31" borderId="17" xfId="0" applyFont="1" applyFill="1" applyBorder="1"/>
    <xf numFmtId="3" fontId="45" fillId="31" borderId="17" xfId="0" applyNumberFormat="1" applyFont="1" applyFill="1" applyBorder="1"/>
    <xf numFmtId="0" fontId="87" fillId="31" borderId="0" xfId="0" applyFont="1" applyFill="1"/>
    <xf numFmtId="3" fontId="83" fillId="31" borderId="28" xfId="0" applyNumberFormat="1" applyFont="1" applyFill="1" applyBorder="1"/>
    <xf numFmtId="0" fontId="83" fillId="31" borderId="13" xfId="0" applyFont="1" applyFill="1" applyBorder="1"/>
    <xf numFmtId="3" fontId="83" fillId="31" borderId="13" xfId="0" applyNumberFormat="1" applyFont="1" applyFill="1" applyBorder="1"/>
    <xf numFmtId="3" fontId="86" fillId="31" borderId="33" xfId="0" applyNumberFormat="1" applyFont="1" applyFill="1" applyBorder="1"/>
    <xf numFmtId="3" fontId="86" fillId="31" borderId="35" xfId="0" applyNumberFormat="1" applyFont="1" applyFill="1" applyBorder="1"/>
    <xf numFmtId="3" fontId="17" fillId="31" borderId="35" xfId="0" applyNumberFormat="1" applyFont="1" applyFill="1" applyBorder="1"/>
    <xf numFmtId="3" fontId="86" fillId="31" borderId="24" xfId="0" applyNumberFormat="1" applyFont="1" applyFill="1" applyBorder="1"/>
    <xf numFmtId="3" fontId="17" fillId="31" borderId="29" xfId="0" applyNumberFormat="1" applyFont="1" applyFill="1" applyBorder="1"/>
    <xf numFmtId="0" fontId="86" fillId="31" borderId="0" xfId="0" applyFont="1" applyFill="1"/>
    <xf numFmtId="0" fontId="86" fillId="0" borderId="13" xfId="0" applyFont="1" applyBorder="1"/>
    <xf numFmtId="3" fontId="86" fillId="31" borderId="34" xfId="0" applyNumberFormat="1" applyFont="1" applyFill="1" applyBorder="1"/>
    <xf numFmtId="0" fontId="40" fillId="31" borderId="49" xfId="0" applyFont="1" applyFill="1" applyBorder="1"/>
    <xf numFmtId="0" fontId="17" fillId="31" borderId="0" xfId="0" applyFont="1" applyFill="1"/>
    <xf numFmtId="164" fontId="46" fillId="25" borderId="12" xfId="41" applyNumberFormat="1" applyFont="1" applyFill="1" applyBorder="1"/>
    <xf numFmtId="0" fontId="46" fillId="47" borderId="0" xfId="60" applyFont="1" applyFill="1" applyAlignment="1">
      <alignment horizontal="left" wrapText="1"/>
    </xf>
    <xf numFmtId="0" fontId="94" fillId="47" borderId="0" xfId="61" applyFont="1" applyFill="1"/>
    <xf numFmtId="0" fontId="95" fillId="47" borderId="0" xfId="60" applyFont="1" applyFill="1"/>
    <xf numFmtId="0" fontId="96" fillId="25" borderId="11" xfId="61" applyFont="1" applyFill="1" applyBorder="1" applyAlignment="1">
      <alignment horizontal="left"/>
    </xf>
    <xf numFmtId="164" fontId="17" fillId="25" borderId="0" xfId="92" applyNumberFormat="1" applyFont="1" applyFill="1"/>
    <xf numFmtId="164" fontId="53" fillId="25" borderId="12" xfId="61" applyNumberFormat="1" applyFont="1" applyFill="1" applyBorder="1" applyAlignment="1">
      <alignment horizontal="center"/>
    </xf>
    <xf numFmtId="164" fontId="53" fillId="25" borderId="17" xfId="61" applyNumberFormat="1" applyFont="1" applyFill="1" applyBorder="1" applyAlignment="1">
      <alignment horizontal="center"/>
    </xf>
    <xf numFmtId="0" fontId="17" fillId="24" borderId="17" xfId="61" applyFont="1" applyFill="1" applyBorder="1" applyAlignment="1">
      <alignment horizontal="center"/>
    </xf>
    <xf numFmtId="164" fontId="53" fillId="25" borderId="0" xfId="91" applyNumberFormat="1" applyFont="1" applyFill="1"/>
    <xf numFmtId="164" fontId="40" fillId="25" borderId="0" xfId="40" applyNumberFormat="1" applyFont="1" applyFill="1" applyBorder="1"/>
    <xf numFmtId="172" fontId="45" fillId="31" borderId="12" xfId="0" applyNumberFormat="1" applyFont="1" applyFill="1" applyBorder="1"/>
    <xf numFmtId="3" fontId="17" fillId="31" borderId="19" xfId="0" applyNumberFormat="1" applyFont="1" applyFill="1" applyBorder="1"/>
    <xf numFmtId="3" fontId="40" fillId="0" borderId="12" xfId="0" applyNumberFormat="1" applyFont="1" applyBorder="1"/>
    <xf numFmtId="164" fontId="40" fillId="25" borderId="14" xfId="61" applyNumberFormat="1" applyFont="1" applyFill="1" applyBorder="1"/>
    <xf numFmtId="170" fontId="40" fillId="25" borderId="14" xfId="61" applyNumberFormat="1" applyFont="1" applyFill="1" applyBorder="1"/>
    <xf numFmtId="170" fontId="40" fillId="25" borderId="12" xfId="61" applyNumberFormat="1" applyFont="1" applyFill="1" applyBorder="1"/>
    <xf numFmtId="164" fontId="17" fillId="25" borderId="34" xfId="61" applyNumberFormat="1" applyFont="1" applyFill="1" applyBorder="1"/>
    <xf numFmtId="170" fontId="17" fillId="25" borderId="34" xfId="61" applyNumberFormat="1" applyFont="1" applyFill="1" applyBorder="1"/>
    <xf numFmtId="170" fontId="18" fillId="25" borderId="0" xfId="61" applyNumberFormat="1" applyFont="1" applyFill="1"/>
    <xf numFmtId="170" fontId="16" fillId="25" borderId="12" xfId="61" applyNumberFormat="1" applyFont="1" applyFill="1" applyBorder="1"/>
    <xf numFmtId="0" fontId="17" fillId="26" borderId="10" xfId="61" applyFont="1" applyFill="1" applyBorder="1" applyAlignment="1">
      <alignment horizontal="left"/>
    </xf>
    <xf numFmtId="0" fontId="40" fillId="47" borderId="0" xfId="61" applyFont="1" applyFill="1" applyAlignment="1">
      <alignment vertical="center"/>
    </xf>
    <xf numFmtId="0" fontId="41" fillId="25" borderId="11" xfId="61" applyFont="1" applyFill="1" applyBorder="1"/>
    <xf numFmtId="0" fontId="40" fillId="25" borderId="26" xfId="61" applyFont="1" applyFill="1" applyBorder="1"/>
    <xf numFmtId="170" fontId="16" fillId="25" borderId="0" xfId="66" applyNumberFormat="1" applyFont="1" applyFill="1"/>
    <xf numFmtId="170" fontId="54" fillId="25" borderId="0" xfId="61" applyNumberFormat="1" applyFont="1" applyFill="1"/>
    <xf numFmtId="0" fontId="54" fillId="25" borderId="0" xfId="61" applyFont="1" applyFill="1"/>
    <xf numFmtId="0" fontId="17" fillId="49" borderId="13" xfId="0" applyFont="1" applyFill="1" applyBorder="1" applyAlignment="1">
      <alignment horizontal="center" vertical="center"/>
    </xf>
    <xf numFmtId="0" fontId="17" fillId="49" borderId="28" xfId="0" applyFont="1" applyFill="1" applyBorder="1" applyAlignment="1">
      <alignment horizontal="center" vertical="center"/>
    </xf>
    <xf numFmtId="0" fontId="17" fillId="48" borderId="28" xfId="0" applyFont="1" applyFill="1" applyBorder="1" applyAlignment="1">
      <alignment horizontal="center" vertical="center"/>
    </xf>
    <xf numFmtId="0" fontId="50" fillId="25" borderId="0" xfId="60" applyFont="1" applyFill="1"/>
    <xf numFmtId="0" fontId="46" fillId="47" borderId="0" xfId="60" applyFont="1" applyFill="1" applyAlignment="1">
      <alignment horizontal="left"/>
    </xf>
    <xf numFmtId="0" fontId="40" fillId="50" borderId="12" xfId="0" applyFont="1" applyFill="1" applyBorder="1"/>
    <xf numFmtId="3" fontId="40" fillId="50" borderId="12" xfId="0" applyNumberFormat="1" applyFont="1" applyFill="1" applyBorder="1"/>
    <xf numFmtId="0" fontId="40" fillId="47" borderId="10" xfId="61" applyFont="1" applyFill="1" applyBorder="1" applyAlignment="1">
      <alignment horizontal="left" wrapText="1"/>
    </xf>
    <xf numFmtId="0" fontId="40" fillId="47" borderId="28" xfId="61" applyFont="1" applyFill="1" applyBorder="1" applyAlignment="1">
      <alignment horizontal="left" wrapText="1"/>
    </xf>
    <xf numFmtId="0" fontId="17" fillId="26" borderId="30" xfId="61" applyFont="1" applyFill="1" applyBorder="1" applyAlignment="1">
      <alignment horizontal="center" wrapText="1"/>
    </xf>
    <xf numFmtId="0" fontId="17" fillId="26" borderId="29" xfId="61" applyFont="1" applyFill="1" applyBorder="1" applyAlignment="1">
      <alignment horizontal="center" wrapText="1"/>
    </xf>
    <xf numFmtId="0" fontId="17" fillId="26" borderId="30" xfId="61" applyFont="1" applyFill="1" applyBorder="1" applyAlignment="1">
      <alignment horizontal="center"/>
    </xf>
    <xf numFmtId="0" fontId="17" fillId="26" borderId="29" xfId="61" applyFont="1" applyFill="1" applyBorder="1" applyAlignment="1">
      <alignment horizontal="center"/>
    </xf>
    <xf numFmtId="0" fontId="17" fillId="26" borderId="26" xfId="61" applyFont="1" applyFill="1" applyBorder="1" applyAlignment="1">
      <alignment horizontal="center"/>
    </xf>
    <xf numFmtId="0" fontId="17" fillId="48" borderId="26" xfId="0" applyFont="1" applyFill="1" applyBorder="1" applyAlignment="1">
      <alignment horizontal="center"/>
    </xf>
    <xf numFmtId="0" fontId="17" fillId="48" borderId="48" xfId="0" applyFont="1" applyFill="1" applyBorder="1" applyAlignment="1">
      <alignment horizontal="center"/>
    </xf>
    <xf numFmtId="0" fontId="17" fillId="48" borderId="50" xfId="0" applyFont="1" applyFill="1" applyBorder="1" applyAlignment="1">
      <alignment horizontal="center"/>
    </xf>
    <xf numFmtId="0" fontId="17" fillId="48" borderId="29" xfId="0" applyFont="1" applyFill="1" applyBorder="1" applyAlignment="1">
      <alignment horizontal="center"/>
    </xf>
    <xf numFmtId="0" fontId="87" fillId="50" borderId="17" xfId="0" applyFont="1" applyFill="1" applyBorder="1"/>
    <xf numFmtId="0" fontId="45" fillId="50" borderId="17" xfId="0" applyFont="1" applyFill="1" applyBorder="1"/>
    <xf numFmtId="0" fontId="87" fillId="50" borderId="0" xfId="0" applyFont="1" applyFill="1"/>
    <xf numFmtId="0" fontId="87" fillId="50" borderId="12" xfId="0" applyFont="1" applyFill="1" applyBorder="1"/>
    <xf numFmtId="0" fontId="83" fillId="50" borderId="28" xfId="0" applyFont="1" applyFill="1" applyBorder="1"/>
    <xf numFmtId="0" fontId="40" fillId="50" borderId="28" xfId="0" applyFont="1" applyFill="1" applyBorder="1"/>
    <xf numFmtId="0" fontId="83" fillId="50" borderId="0" xfId="0" applyFont="1" applyFill="1"/>
    <xf numFmtId="0" fontId="83" fillId="50" borderId="13" xfId="0" applyFont="1" applyFill="1" applyBorder="1"/>
    <xf numFmtId="0" fontId="40" fillId="50" borderId="17" xfId="0" applyFont="1" applyFill="1" applyBorder="1"/>
    <xf numFmtId="0" fontId="86" fillId="50" borderId="33" xfId="0" applyFont="1" applyFill="1" applyBorder="1"/>
    <xf numFmtId="0" fontId="17" fillId="50" borderId="33" xfId="0" applyFont="1" applyFill="1" applyBorder="1"/>
    <xf numFmtId="0" fontId="86" fillId="50" borderId="0" xfId="0" applyFont="1" applyFill="1"/>
    <xf numFmtId="0" fontId="86" fillId="50" borderId="24" xfId="0" applyFont="1" applyFill="1" applyBorder="1"/>
    <xf numFmtId="0" fontId="17" fillId="50" borderId="29" xfId="0" applyFont="1" applyFill="1" applyBorder="1"/>
    <xf numFmtId="0" fontId="86" fillId="50" borderId="17" xfId="0" applyFont="1" applyFill="1" applyBorder="1"/>
    <xf numFmtId="0" fontId="86" fillId="50" borderId="12" xfId="0" applyFont="1" applyFill="1" applyBorder="1"/>
    <xf numFmtId="0" fontId="17" fillId="25" borderId="17" xfId="0" applyFont="1" applyFill="1" applyBorder="1"/>
    <xf numFmtId="0" fontId="17" fillId="50" borderId="17" xfId="0" applyFont="1" applyFill="1" applyBorder="1"/>
    <xf numFmtId="0" fontId="86" fillId="25" borderId="17" xfId="0" applyFont="1" applyFill="1" applyBorder="1"/>
    <xf numFmtId="10" fontId="86" fillId="50" borderId="17" xfId="0" applyNumberFormat="1" applyFont="1" applyFill="1" applyBorder="1"/>
    <xf numFmtId="10" fontId="17" fillId="50" borderId="17" xfId="0" applyNumberFormat="1" applyFont="1" applyFill="1" applyBorder="1"/>
    <xf numFmtId="10" fontId="86" fillId="50" borderId="12" xfId="0" applyNumberFormat="1" applyFont="1" applyFill="1" applyBorder="1"/>
    <xf numFmtId="0" fontId="83" fillId="50" borderId="17" xfId="0" applyFont="1" applyFill="1" applyBorder="1"/>
    <xf numFmtId="0" fontId="83" fillId="50" borderId="12" xfId="0" applyFont="1" applyFill="1" applyBorder="1"/>
    <xf numFmtId="1" fontId="83" fillId="50" borderId="17" xfId="0" applyNumberFormat="1" applyFont="1" applyFill="1" applyBorder="1"/>
    <xf numFmtId="1" fontId="40" fillId="50" borderId="17" xfId="0" applyNumberFormat="1" applyFont="1" applyFill="1" applyBorder="1"/>
    <xf numFmtId="1" fontId="83" fillId="50" borderId="12" xfId="0" applyNumberFormat="1" applyFont="1" applyFill="1" applyBorder="1"/>
  </cellXfs>
  <cellStyles count="192">
    <cellStyle name="__x001d__'&amp;O_—&amp;H__x000b__x0008_R_x000a_&amp;_x000e__x0007__x0001__x0001_ 141 13 2" xfId="104" xr:uid="{DF66B918-3E05-4F12-B923-B352A0F48195}"/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Comma" xfId="40" builtinId="3"/>
    <cellStyle name="Comma 10" xfId="107" xr:uid="{6F771CEF-D36B-48EB-80BB-A7DCB7A033B9}"/>
    <cellStyle name="Comma 11 3 2" xfId="119" xr:uid="{C9A38E1A-B38A-4B54-BF89-FFC6AD8B29EF}"/>
    <cellStyle name="Comma 135" xfId="112" xr:uid="{6381D61D-7892-417B-9B04-B69279519297}"/>
    <cellStyle name="Comma 2" xfId="41" xr:uid="{00000000-0005-0000-0000-000028000000}"/>
    <cellStyle name="Comma 2 2" xfId="42" xr:uid="{00000000-0005-0000-0000-000029000000}"/>
    <cellStyle name="Comma 2 2 2" xfId="43" xr:uid="{00000000-0005-0000-0000-00002A000000}"/>
    <cellStyle name="Comma 2 2 2 2" xfId="44" xr:uid="{00000000-0005-0000-0000-00002B000000}"/>
    <cellStyle name="Comma 2 2 2 2 2" xfId="82" xr:uid="{00000000-0005-0000-0000-00002C000000}"/>
    <cellStyle name="Comma 2 2 2 2 2 2" xfId="91" xr:uid="{36161C44-ABA9-435E-AA6F-A9F7CD16BD43}"/>
    <cellStyle name="Comma 2 2 2 3" xfId="81" xr:uid="{00000000-0005-0000-0000-00002D000000}"/>
    <cellStyle name="Comma 2 2 3" xfId="80" xr:uid="{00000000-0005-0000-0000-00002E000000}"/>
    <cellStyle name="Comma 2 2 4" xfId="110" xr:uid="{5F6CD796-3B31-4EB3-B089-AB1BD7148703}"/>
    <cellStyle name="Comma 2 3" xfId="79" xr:uid="{00000000-0005-0000-0000-00002F000000}"/>
    <cellStyle name="Comma 2 3 2" xfId="108" xr:uid="{44D9165A-5264-4E3A-9C2C-0934BD5C9CCC}"/>
    <cellStyle name="Comma 2 4" xfId="94" xr:uid="{EA89EC8F-0876-4027-A922-74463955BD12}"/>
    <cellStyle name="Comma 2 4 2" xfId="100" xr:uid="{27D5FC51-3FF5-4B6D-8073-E2F29E18368A}"/>
    <cellStyle name="Comma 2 4 3" xfId="167" xr:uid="{FE5E5FBC-DC8B-436F-9D0C-1F1244AF9C28}"/>
    <cellStyle name="Comma 2 4 3 2" xfId="170" xr:uid="{9EB4B86D-B5F3-46EE-A745-B665B554968E}"/>
    <cellStyle name="Comma 2 4 3 2 2" xfId="174" xr:uid="{EED40C26-F2E7-4132-BDDE-66F4FCD3C6BA}"/>
    <cellStyle name="Comma 2 4 3 2 2 2" xfId="178" xr:uid="{B5806702-F6CD-46E8-B90D-BA404D4B1845}"/>
    <cellStyle name="Comma 2 5" xfId="101" xr:uid="{FFB2DE7A-A55B-4823-B93E-B094D0F75CA3}"/>
    <cellStyle name="Comma 2 53" xfId="111" xr:uid="{D58E2735-AEBD-4C74-A6DF-8CFAF9A183BF}"/>
    <cellStyle name="Comma 2 6" xfId="183" xr:uid="{B08F8BB5-CA6C-4A7B-A8C4-06D9F5E55188}"/>
    <cellStyle name="Comma 2 6 2" xfId="187" xr:uid="{94DF9786-7FF3-4F8D-8325-7C99E008B901}"/>
    <cellStyle name="Comma 2 6 3" xfId="191" xr:uid="{9C4ED071-42B7-47F3-A136-13DAC886DF5C}"/>
    <cellStyle name="Comma 3" xfId="45" xr:uid="{00000000-0005-0000-0000-000030000000}"/>
    <cellStyle name="Comma 3 2" xfId="46" xr:uid="{00000000-0005-0000-0000-000031000000}"/>
    <cellStyle name="Comma 3 2 2" xfId="84" xr:uid="{00000000-0005-0000-0000-000032000000}"/>
    <cellStyle name="Comma 3 3" xfId="83" xr:uid="{00000000-0005-0000-0000-000033000000}"/>
    <cellStyle name="Comma 3 3 2" xfId="122" xr:uid="{DABE7234-581F-46CE-95DC-76A692ABE182}"/>
    <cellStyle name="Comma 3 4" xfId="115" xr:uid="{7C8514F9-A791-44B6-97CA-5783B30F7EC1}"/>
    <cellStyle name="Comma 4" xfId="47" xr:uid="{00000000-0005-0000-0000-000034000000}"/>
    <cellStyle name="Comma 4 2" xfId="48" xr:uid="{00000000-0005-0000-0000-000035000000}"/>
    <cellStyle name="Comma 4 2 2" xfId="86" xr:uid="{00000000-0005-0000-0000-000036000000}"/>
    <cellStyle name="Comma 4 3" xfId="85" xr:uid="{00000000-0005-0000-0000-000037000000}"/>
    <cellStyle name="Comma 4 4" xfId="120" xr:uid="{65A58B82-CA5A-4DF5-931B-A8DE34002CCF}"/>
    <cellStyle name="Comma 5" xfId="78" xr:uid="{00000000-0005-0000-0000-000038000000}"/>
    <cellStyle name="Comma 5 2" xfId="92" xr:uid="{72802790-146E-4BF4-B7CC-F5D56CC87AD1}"/>
    <cellStyle name="Comma 5 3" xfId="125" xr:uid="{6C620215-E4DD-4966-901A-816D173F4E91}"/>
    <cellStyle name="Comma 6" xfId="90" xr:uid="{4A1B19C7-41CE-4235-9A0E-B42E20B212D9}"/>
    <cellStyle name="Comma 7" xfId="98" xr:uid="{0ACDB83A-A55C-4270-9BF8-3DA596C329D6}"/>
    <cellStyle name="Currency 2" xfId="49" xr:uid="{00000000-0005-0000-0000-000039000000}"/>
    <cellStyle name="Currency 2 2" xfId="50" xr:uid="{00000000-0005-0000-0000-00003A000000}"/>
    <cellStyle name="Currency 2 2 2" xfId="88" xr:uid="{00000000-0005-0000-0000-00003B000000}"/>
    <cellStyle name="Currency 2 3" xfId="87" xr:uid="{00000000-0005-0000-0000-00003C000000}"/>
    <cellStyle name="Explanatory Text" xfId="51" builtinId="53" customBuiltin="1"/>
    <cellStyle name="Good" xfId="52" builtinId="26" customBuiltin="1"/>
    <cellStyle name="Heading 1" xfId="53" builtinId="16" customBuiltin="1"/>
    <cellStyle name="Heading 2" xfId="54" builtinId="17" customBuiltin="1"/>
    <cellStyle name="Heading 3" xfId="55" builtinId="18" customBuiltin="1"/>
    <cellStyle name="Heading 4" xfId="56" builtinId="19" customBuiltin="1"/>
    <cellStyle name="Input" xfId="57" builtinId="20" customBuiltin="1"/>
    <cellStyle name="Linked Cell" xfId="58" builtinId="24" customBuiltin="1"/>
    <cellStyle name="Neutral" xfId="59" builtinId="28" customBuiltin="1"/>
    <cellStyle name="Normal" xfId="0" builtinId="0"/>
    <cellStyle name="Normal 126 3" xfId="118" xr:uid="{4F13038E-5840-47E8-976A-2305B5FB5F60}"/>
    <cellStyle name="Normal 131" xfId="109" xr:uid="{C2DF03EB-3BE5-4AA6-92FC-719DB65A751F}"/>
    <cellStyle name="Normal 17 4" xfId="105" xr:uid="{85D4F029-B026-4B49-9C7F-2BCEEEA67198}"/>
    <cellStyle name="Normal 2" xfId="60" xr:uid="{00000000-0005-0000-0000-000047000000}"/>
    <cellStyle name="Normal 2 2" xfId="114" xr:uid="{86F68B3B-D0DE-4A4E-BDEB-926C92B39C89}"/>
    <cellStyle name="Normal 2 3" xfId="113" xr:uid="{B7AE655A-E86E-45C8-A1AD-6D8AE46566B3}"/>
    <cellStyle name="Normal 2 4" xfId="103" xr:uid="{091AC4D9-C93E-4851-B962-C5BD5CE5C56A}"/>
    <cellStyle name="Normal 3" xfId="89" xr:uid="{4EB4EC5E-4146-4289-8947-55157A951B75}"/>
    <cellStyle name="Normal 3 2" xfId="102" xr:uid="{9692A0B0-B647-4A59-B337-B97C51E7B79F}"/>
    <cellStyle name="Normal 4" xfId="93" xr:uid="{34AA0AE2-9DD7-4614-ADF1-EFA11ED52C65}"/>
    <cellStyle name="Normal 4 2" xfId="96" xr:uid="{830B42B9-C37D-4126-BE79-C4513E1FA269}"/>
    <cellStyle name="Normal 4 3" xfId="116" xr:uid="{6D26F37E-8B63-4DAF-AC9D-D3FA7F5ECF90}"/>
    <cellStyle name="Normal 4 4" xfId="166" xr:uid="{5B04B8D9-EE8D-4B7E-817C-FAD2444BC987}"/>
    <cellStyle name="Normal 4 4 2" xfId="169" xr:uid="{D4CB9494-C366-4911-B7D4-0771B98985EB}"/>
    <cellStyle name="Normal 4 4 2 2" xfId="173" xr:uid="{9F210651-6E39-4432-822D-EA4E7A2F1D7A}"/>
    <cellStyle name="Normal 4 4 2 2 2" xfId="177" xr:uid="{CDB75A24-DE7E-4B18-B8B7-380E10DBA4C3}"/>
    <cellStyle name="Normal 4 4 2 2 2 2" xfId="181" xr:uid="{EC4A1AD4-319A-459F-A9FB-717AA18A8D2F}"/>
    <cellStyle name="Normal 4 4 2 2 2 2 2" xfId="185" xr:uid="{1C302A0B-0B28-411A-B597-3B8EB6681217}"/>
    <cellStyle name="Normal 4 4 2 2 2 2 3" xfId="189" xr:uid="{0C6529CF-1A5B-4700-BD6A-CF235E262F3C}"/>
    <cellStyle name="Normal 5" xfId="117" xr:uid="{AE2A0334-A1C8-4F80-9C69-F3652F20AF2E}"/>
    <cellStyle name="Normal 5 2" xfId="165" xr:uid="{7E1B9F85-C4B5-4906-845E-B756EFA2BB95}"/>
    <cellStyle name="Normal 5 2 2" xfId="172" xr:uid="{535C9B40-94D2-45F4-A771-B4D7060B5C08}"/>
    <cellStyle name="Normal 5 2 2 2" xfId="176" xr:uid="{7A7F1E56-8970-42D5-A1C8-E52FD3AA9A31}"/>
    <cellStyle name="Normal 5 2 2 2 2" xfId="180" xr:uid="{D1B6D96F-E5B1-490D-9EF0-F111FA5D470B}"/>
    <cellStyle name="Normal 5 2 2 2 2 2" xfId="184" xr:uid="{EB0FDDA9-DB52-4875-B778-F34488CFC756}"/>
    <cellStyle name="Normal 5 2 2 2 2 3" xfId="188" xr:uid="{C4374AF8-6C09-4D06-AD54-0938727BDCE3}"/>
    <cellStyle name="Normal 6" xfId="97" xr:uid="{CBCF0BA9-4EDF-47AB-8F39-214763937DE6}"/>
    <cellStyle name="Normal 6 3 2" xfId="106" xr:uid="{FF09ED2B-7E82-47EC-B706-2BB40D0009B1}"/>
    <cellStyle name="Normal_Grp5yrSummary" xfId="61" xr:uid="{00000000-0005-0000-0000-000048000000}"/>
    <cellStyle name="Note" xfId="62" builtinId="10" customBuiltin="1"/>
    <cellStyle name="Note 2" xfId="63" xr:uid="{00000000-0005-0000-0000-00004A000000}"/>
    <cellStyle name="Note 2 2" xfId="64" xr:uid="{00000000-0005-0000-0000-00004B000000}"/>
    <cellStyle name="Output" xfId="65" builtinId="21" customBuiltin="1"/>
    <cellStyle name="Percent" xfId="66" builtinId="5"/>
    <cellStyle name="Percent 10" xfId="124" xr:uid="{CF233938-F69A-48BE-BF8E-4F46F52A65A4}"/>
    <cellStyle name="Percent 2" xfId="67" xr:uid="{00000000-0005-0000-0000-00004E000000}"/>
    <cellStyle name="Percent 2 2" xfId="68" xr:uid="{00000000-0005-0000-0000-00004F000000}"/>
    <cellStyle name="Percent 2 2 2" xfId="69" xr:uid="{00000000-0005-0000-0000-000050000000}"/>
    <cellStyle name="Percent 2 2 2 2" xfId="70" xr:uid="{00000000-0005-0000-0000-000051000000}"/>
    <cellStyle name="Percent 2 3" xfId="123" xr:uid="{A6DCC080-AB98-46FE-8416-D3EBCE4536E7}"/>
    <cellStyle name="Percent 3" xfId="71" xr:uid="{00000000-0005-0000-0000-000052000000}"/>
    <cellStyle name="Percent 3 2" xfId="72" xr:uid="{00000000-0005-0000-0000-000053000000}"/>
    <cellStyle name="Percent 4" xfId="73" xr:uid="{00000000-0005-0000-0000-000054000000}"/>
    <cellStyle name="Percent 4 2" xfId="74" xr:uid="{00000000-0005-0000-0000-000055000000}"/>
    <cellStyle name="Percent 5" xfId="95" xr:uid="{ED283EB3-83C6-481E-AE26-8D9F7B4D177D}"/>
    <cellStyle name="Percent 5 2" xfId="168" xr:uid="{B6610757-A84C-4FD9-B504-12318BB4A04F}"/>
    <cellStyle name="Percent 5 2 2" xfId="171" xr:uid="{C9C880BE-808E-4C13-8680-B09443727A33}"/>
    <cellStyle name="Percent 5 2 2 2" xfId="175" xr:uid="{930225F3-3407-416F-8C8E-DF44FAB9B8C5}"/>
    <cellStyle name="Percent 5 2 2 2 2" xfId="179" xr:uid="{2CA66D62-D75B-4973-BDB4-1DB96F823C20}"/>
    <cellStyle name="Percent 6" xfId="99" xr:uid="{E06979E9-0031-4088-85F2-B33F6F21CAC4}"/>
    <cellStyle name="Percent 7" xfId="182" xr:uid="{8C2597AF-4F5B-4692-9508-30A637B3F19E}"/>
    <cellStyle name="Percent 7 2" xfId="186" xr:uid="{21909324-37FA-42B9-8EE6-7170A28D0018}"/>
    <cellStyle name="Percent 7 3" xfId="190" xr:uid="{413F8C5D-4C8F-44C8-A559-9F377614243B}"/>
    <cellStyle name="SAPBorder" xfId="145" xr:uid="{6879BDFD-0330-4796-BDE5-E071C4A3A74A}"/>
    <cellStyle name="SAPDataCell" xfId="127" xr:uid="{67FF99F4-67D7-41A0-8EA7-18948BEE26C3}"/>
    <cellStyle name="SAPDataRemoved" xfId="146" xr:uid="{DB178311-4C8B-429D-820F-0E33856F7363}"/>
    <cellStyle name="SAPDataTotalCell" xfId="128" xr:uid="{F1CE370C-9B86-4A40-A610-0BDEB539A6FE}"/>
    <cellStyle name="SAPDimensionCell" xfId="126" xr:uid="{87B36E44-2545-43A5-96C6-D445284F22A6}"/>
    <cellStyle name="SAPEditableDataCell" xfId="130" xr:uid="{B5472855-B02A-4A77-BC01-155AC198DBF8}"/>
    <cellStyle name="SAPEditableDataTotalCell" xfId="133" xr:uid="{64749143-FBB2-4370-BB27-AA2B18CA7230}"/>
    <cellStyle name="SAPEmphasized" xfId="156" xr:uid="{FA7A1F73-1945-407E-B396-5D95220C7FFA}"/>
    <cellStyle name="SAPEmphasizedEditableDataCell" xfId="158" xr:uid="{44E03316-70CC-448C-971B-FB934CE62797}"/>
    <cellStyle name="SAPEmphasizedEditableDataTotalCell" xfId="159" xr:uid="{881444A5-DDFC-4316-8E05-C5D8984641C6}"/>
    <cellStyle name="SAPEmphasizedLockedDataCell" xfId="162" xr:uid="{5F9B56EB-F965-4F2E-ABDB-DE935C39E262}"/>
    <cellStyle name="SAPEmphasizedLockedDataTotalCell" xfId="163" xr:uid="{0B2B317A-C8BF-4866-BF19-33558A0140C2}"/>
    <cellStyle name="SAPEmphasizedReadonlyDataCell" xfId="160" xr:uid="{917C9183-D941-48D9-A2EE-314AC081F354}"/>
    <cellStyle name="SAPEmphasizedReadonlyDataTotalCell" xfId="161" xr:uid="{BC3D0827-9FC2-4757-AF5F-498186E3738E}"/>
    <cellStyle name="SAPEmphasizedTotal" xfId="157" xr:uid="{5E4CE7AA-EE4D-4F79-8928-EB5922304FB9}"/>
    <cellStyle name="SAPError" xfId="147" xr:uid="{CAD48328-0A0A-415E-AC11-01B6A8E91E61}"/>
    <cellStyle name="SAPExceptionLevel1" xfId="136" xr:uid="{ADE3305E-E0BA-454A-B503-22622DAACD32}"/>
    <cellStyle name="SAPExceptionLevel2" xfId="137" xr:uid="{DE7E6203-71D6-4B5D-9388-FBB6FAB68A1A}"/>
    <cellStyle name="SAPExceptionLevel3" xfId="138" xr:uid="{C4E49A13-4A44-4269-A64A-D5755B356377}"/>
    <cellStyle name="SAPExceptionLevel4" xfId="139" xr:uid="{0B673068-5B6C-4547-B9DC-B92A2FAD6690}"/>
    <cellStyle name="SAPExceptionLevel5" xfId="140" xr:uid="{1ABEBFAD-6A59-4E33-804C-C97ECB8A73CA}"/>
    <cellStyle name="SAPExceptionLevel6" xfId="141" xr:uid="{2050C60D-167F-429A-BA54-60DF48D00E28}"/>
    <cellStyle name="SAPExceptionLevel7" xfId="142" xr:uid="{525B9738-89E1-4E52-B28E-CA6294A6AA5B}"/>
    <cellStyle name="SAPExceptionLevel8" xfId="143" xr:uid="{4E4CCE74-8621-4BEF-8D6B-DD4F2D5D4D64}"/>
    <cellStyle name="SAPExceptionLevel9" xfId="144" xr:uid="{AC97E59C-2EB5-4A69-928B-A246E85A0F6E}"/>
    <cellStyle name="SAPFormula" xfId="164" xr:uid="{7199DDAC-222A-4077-B9CC-73E4BC54D160}"/>
    <cellStyle name="SAPGroupingFillCell" xfId="129" xr:uid="{4031D300-C632-4A7D-90A8-B5928406EAAA}"/>
    <cellStyle name="SAPHierarchyCell0" xfId="151" xr:uid="{0B86E3C7-F736-4EC5-B8BB-34C200A59046}"/>
    <cellStyle name="SAPHierarchyCell1" xfId="152" xr:uid="{3C13444E-FA1E-4728-AF57-A6E27118A368}"/>
    <cellStyle name="SAPHierarchyCell2" xfId="153" xr:uid="{39086E9C-3357-4825-A3ED-62CDEEAFEDC9}"/>
    <cellStyle name="SAPHierarchyCell3" xfId="154" xr:uid="{E6A28908-4ECC-4922-AAC0-9B073E628FFD}"/>
    <cellStyle name="SAPHierarchyCell4" xfId="155" xr:uid="{77B4BAAE-B774-44F3-BD96-336702327AD0}"/>
    <cellStyle name="SAPLockedDataCell" xfId="132" xr:uid="{7727C3A4-DC97-4FC5-9560-8E4FED687BF8}"/>
    <cellStyle name="SAPLockedDataTotalCell" xfId="135" xr:uid="{85A871F5-F214-416A-B2E0-85E54B3E6C7B}"/>
    <cellStyle name="SAPMemberCell" xfId="149" xr:uid="{CCBF9D2C-26D1-448A-AA6F-66EB668B8AE4}"/>
    <cellStyle name="SAPMemberTotalCell" xfId="150" xr:uid="{AB696C57-9FA2-45EA-A258-E640994BC358}"/>
    <cellStyle name="SAPMessageText" xfId="148" xr:uid="{990A29F8-9A71-49EF-A699-326684A2DC2F}"/>
    <cellStyle name="SAPReadonlyDataCell" xfId="131" xr:uid="{8617C456-18B3-4B8C-A2E3-FC8B54D5D3C2}"/>
    <cellStyle name="SAPReadonlyDataTotalCell" xfId="134" xr:uid="{C383F1FD-7BF8-405D-B921-1B5F38202CBC}"/>
    <cellStyle name="Style 1" xfId="121" xr:uid="{96A17BC3-4807-48B2-8207-73795CB575F1}"/>
    <cellStyle name="Title" xfId="75" builtinId="15" customBuiltin="1"/>
    <cellStyle name="Total" xfId="76" builtinId="25" customBuiltin="1"/>
    <cellStyle name="Warning Text" xfId="77" builtinId="11" customBuiltin="1"/>
  </cellStyles>
  <dxfs count="0"/>
  <tableStyles count="0" defaultTableStyle="TableStyleMedium9" defaultPivotStyle="PivotStyleLight16"/>
  <colors>
    <mruColors>
      <color rgb="FFFFFF99"/>
      <color rgb="FFFF66FF"/>
      <color rgb="FFFFFFFF"/>
      <color rgb="FFCCC0DA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ngtel-my.sharepoint.com/Management%20Accounting/SingTel%20Monthly%20Reporting/FY1819/Actuals/P12_Mar%2019/MD&amp;A/Input%20&amp;%20TM1%20Send%20Files/Retail%20Churn%20FY19%20Q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fs3942\CorpAccounting$\Management%20Accounting\SingTel%20Monthly%20Reporting\FY1819\Actuals\P12_Mar%2019\MD&amp;A\Input%20&amp;%20TM1%20Send%20Files\Retail%20Churn%20FY19%20Q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ingTel%20Monthly%20Reporting\FY1819\Actuals\P12_Mar%2019\MD&amp;A\MD&amp;A%20Master%20-%20Mar19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Summary"/>
      <sheetName val="Summary Sheet"/>
      <sheetName val="Cognos_Office_Connection_Cache"/>
      <sheetName val="Churn by BU"/>
      <sheetName val="Pre FY19 Churn"/>
      <sheetName val="Retail churn by BU "/>
      <sheetName val="Cog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Summary"/>
      <sheetName val="Summary Sheet"/>
      <sheetName val="Cognos_Office_Connection_Cache"/>
      <sheetName val="Churn by BU"/>
      <sheetName val="Pre FY19 Churn"/>
      <sheetName val="Retail churn by BU "/>
      <sheetName val="Cogno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MD&amp;A Summary"/>
      <sheetName val="Underlying Data"/>
      <sheetName val="Section 2"/>
      <sheetName val="Section 6 + Additional"/>
      <sheetName val="Commentary"/>
      <sheetName val="Results Analysis"/>
      <sheetName val="NN Slides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view="pageBreakPreview" zoomScale="70" zoomScaleNormal="70" zoomScaleSheetLayoutView="70" workbookViewId="0">
      <selection activeCell="T24" sqref="T24"/>
    </sheetView>
  </sheetViews>
  <sheetFormatPr defaultColWidth="9.28515625" defaultRowHeight="16.5"/>
  <cols>
    <col min="1" max="1" width="1.7109375" style="2" customWidth="1"/>
    <col min="2" max="2" width="10.5703125" style="2" customWidth="1"/>
    <col min="3" max="3" width="54.85546875" style="2" customWidth="1"/>
    <col min="4" max="5" width="19.28515625" style="2" customWidth="1"/>
    <col min="6" max="7" width="21.7109375" style="2" customWidth="1"/>
    <col min="8" max="8" width="8.42578125" style="5" customWidth="1"/>
    <col min="9" max="9" width="20.5703125" style="2" hidden="1" customWidth="1"/>
    <col min="10" max="10" width="20.5703125" style="2" customWidth="1"/>
    <col min="11" max="11" width="17.85546875" style="2" customWidth="1"/>
    <col min="12" max="12" width="11.42578125" style="2" customWidth="1"/>
    <col min="13" max="14" width="10.5703125" style="2" customWidth="1"/>
    <col min="15" max="15" width="10.42578125" style="2" customWidth="1"/>
    <col min="16" max="16384" width="9.28515625" style="2"/>
  </cols>
  <sheetData>
    <row r="1" spans="1:15" ht="21" customHeight="1">
      <c r="A1" s="1" t="s">
        <v>0</v>
      </c>
    </row>
    <row r="2" spans="1:15" ht="8.25" customHeight="1">
      <c r="D2" s="5"/>
      <c r="E2" s="5"/>
      <c r="F2" s="5"/>
      <c r="G2" s="5"/>
    </row>
    <row r="3" spans="1:15" ht="18">
      <c r="A3" s="67" t="s">
        <v>1</v>
      </c>
      <c r="B3" s="480"/>
      <c r="D3" s="5"/>
      <c r="E3" s="5"/>
      <c r="F3" s="5"/>
      <c r="G3" s="5"/>
    </row>
    <row r="4" spans="1:15" ht="13.5" customHeight="1">
      <c r="A4" s="3"/>
    </row>
    <row r="5" spans="1:15" ht="18">
      <c r="A5" s="128"/>
      <c r="B5" s="126"/>
      <c r="C5" s="131"/>
      <c r="D5" s="579" t="s">
        <v>2</v>
      </c>
      <c r="E5" s="580"/>
      <c r="F5" s="579" t="s">
        <v>3</v>
      </c>
      <c r="G5" s="580"/>
      <c r="H5" s="137"/>
      <c r="I5" s="185"/>
      <c r="J5" s="185"/>
      <c r="K5" s="185"/>
    </row>
    <row r="6" spans="1:15" ht="17.45" hidden="1" customHeight="1">
      <c r="A6" s="129" t="s">
        <v>4</v>
      </c>
      <c r="B6" s="127"/>
      <c r="C6" s="168"/>
      <c r="D6" s="120"/>
      <c r="E6" s="147"/>
      <c r="F6" s="386"/>
      <c r="G6" s="386"/>
      <c r="H6" s="137"/>
      <c r="I6" s="164"/>
      <c r="J6" s="164"/>
      <c r="K6" s="164"/>
    </row>
    <row r="7" spans="1:15" ht="18">
      <c r="A7" s="166" t="s">
        <v>4</v>
      </c>
      <c r="B7" s="180"/>
      <c r="C7" s="132"/>
      <c r="D7" s="178" t="s">
        <v>5</v>
      </c>
      <c r="E7" s="178" t="s">
        <v>6</v>
      </c>
      <c r="F7" s="178" t="s">
        <v>5</v>
      </c>
      <c r="G7" s="162" t="s">
        <v>6</v>
      </c>
      <c r="H7" s="137"/>
      <c r="I7" s="163" t="s">
        <v>7</v>
      </c>
      <c r="J7" s="163" t="s">
        <v>2</v>
      </c>
      <c r="K7" s="163" t="s">
        <v>3</v>
      </c>
    </row>
    <row r="8" spans="1:15" ht="18">
      <c r="A8" s="11" t="s">
        <v>8</v>
      </c>
      <c r="B8" s="12"/>
      <c r="C8" s="12"/>
      <c r="D8" s="263"/>
      <c r="E8" s="299"/>
      <c r="F8" s="263"/>
      <c r="G8" s="263"/>
      <c r="H8" s="251"/>
      <c r="I8" s="264"/>
      <c r="J8" s="264"/>
      <c r="K8" s="265"/>
    </row>
    <row r="9" spans="1:15" ht="18">
      <c r="A9" s="11"/>
      <c r="B9" s="251" t="s">
        <v>9</v>
      </c>
      <c r="C9" s="251"/>
      <c r="D9" s="267">
        <v>7028</v>
      </c>
      <c r="E9" s="267">
        <v>7099</v>
      </c>
      <c r="F9" s="267">
        <v>6992</v>
      </c>
      <c r="G9" s="267">
        <v>7154</v>
      </c>
      <c r="H9" s="266"/>
      <c r="I9" s="267">
        <v>14624</v>
      </c>
      <c r="J9" s="267">
        <v>14128</v>
      </c>
      <c r="K9" s="267">
        <v>14146</v>
      </c>
      <c r="L9" s="250"/>
      <c r="M9" s="250"/>
      <c r="N9" s="250"/>
      <c r="O9" s="250"/>
    </row>
    <row r="10" spans="1:15" ht="18">
      <c r="A10" s="11"/>
      <c r="B10" s="256" t="s">
        <v>10</v>
      </c>
      <c r="C10" s="256"/>
      <c r="D10" s="268">
        <v>-5368</v>
      </c>
      <c r="E10" s="268">
        <v>-5382</v>
      </c>
      <c r="F10" s="268">
        <v>-5172</v>
      </c>
      <c r="G10" s="268">
        <v>-5417</v>
      </c>
      <c r="H10" s="266"/>
      <c r="I10" s="268">
        <v>-11134</v>
      </c>
      <c r="J10" s="268">
        <v>-10750</v>
      </c>
      <c r="K10" s="268">
        <v>-10589</v>
      </c>
      <c r="L10" s="250"/>
      <c r="M10" s="250"/>
      <c r="N10" s="250"/>
      <c r="O10" s="250"/>
    </row>
    <row r="11" spans="1:15" ht="18">
      <c r="A11" s="11"/>
      <c r="B11" s="251" t="s">
        <v>11</v>
      </c>
      <c r="C11" s="251"/>
      <c r="D11" s="270">
        <v>1660</v>
      </c>
      <c r="E11" s="270">
        <v>1718</v>
      </c>
      <c r="F11" s="270">
        <v>1820</v>
      </c>
      <c r="G11" s="270">
        <v>1737</v>
      </c>
      <c r="H11" s="269"/>
      <c r="I11" s="270">
        <v>3491</v>
      </c>
      <c r="J11" s="270">
        <v>3378</v>
      </c>
      <c r="K11" s="270">
        <v>3557</v>
      </c>
      <c r="L11" s="250"/>
      <c r="M11" s="250"/>
      <c r="N11" s="250"/>
      <c r="O11" s="250"/>
    </row>
    <row r="12" spans="1:15" ht="18">
      <c r="A12" s="11"/>
      <c r="B12" s="256" t="s">
        <v>12</v>
      </c>
      <c r="C12" s="256"/>
      <c r="D12" s="271">
        <v>127</v>
      </c>
      <c r="E12" s="271">
        <v>92</v>
      </c>
      <c r="F12" s="271">
        <v>127</v>
      </c>
      <c r="G12" s="271">
        <v>108</v>
      </c>
      <c r="H12" s="269"/>
      <c r="I12" s="271">
        <v>195</v>
      </c>
      <c r="J12" s="271">
        <v>219</v>
      </c>
      <c r="K12" s="271">
        <v>235</v>
      </c>
      <c r="L12" s="250"/>
      <c r="M12" s="250"/>
      <c r="N12" s="250"/>
      <c r="O12" s="250"/>
    </row>
    <row r="13" spans="1:15" s="3" customFormat="1" ht="18">
      <c r="A13" s="11"/>
      <c r="B13" s="284" t="s">
        <v>13</v>
      </c>
      <c r="C13" s="284"/>
      <c r="D13" s="273">
        <v>1787</v>
      </c>
      <c r="E13" s="273">
        <v>1810</v>
      </c>
      <c r="F13" s="273">
        <v>1947</v>
      </c>
      <c r="G13" s="273">
        <v>1845</v>
      </c>
      <c r="H13" s="272"/>
      <c r="I13" s="273">
        <v>3686</v>
      </c>
      <c r="J13" s="273">
        <v>3597</v>
      </c>
      <c r="K13" s="273">
        <v>3792</v>
      </c>
      <c r="L13" s="250"/>
      <c r="M13" s="250"/>
      <c r="N13" s="250"/>
      <c r="O13" s="250"/>
    </row>
    <row r="14" spans="1:15" s="51" customFormat="1" ht="18">
      <c r="A14" s="50"/>
      <c r="B14" s="275" t="s">
        <v>14</v>
      </c>
      <c r="C14" s="275"/>
      <c r="D14" s="274">
        <v>0.254</v>
      </c>
      <c r="E14" s="274">
        <v>0.255</v>
      </c>
      <c r="F14" s="274">
        <v>0.27800000000000002</v>
      </c>
      <c r="G14" s="274">
        <v>0.25800000000000001</v>
      </c>
      <c r="H14" s="275"/>
      <c r="I14" s="274">
        <v>0.252</v>
      </c>
      <c r="J14" s="274">
        <v>0.255</v>
      </c>
      <c r="K14" s="274">
        <v>0.26800000000000002</v>
      </c>
      <c r="L14" s="250"/>
      <c r="M14" s="250"/>
      <c r="N14" s="250"/>
      <c r="O14" s="250"/>
    </row>
    <row r="15" spans="1:15" ht="21" customHeight="1">
      <c r="A15" s="11"/>
      <c r="B15" s="577" t="s">
        <v>15</v>
      </c>
      <c r="C15" s="578"/>
      <c r="D15" s="271">
        <v>1195</v>
      </c>
      <c r="E15" s="271">
        <v>1143</v>
      </c>
      <c r="F15" s="271">
        <v>1169</v>
      </c>
      <c r="G15" s="271">
        <v>1330</v>
      </c>
      <c r="H15" s="269"/>
      <c r="I15" s="271">
        <v>2287</v>
      </c>
      <c r="J15" s="271">
        <v>2338</v>
      </c>
      <c r="K15" s="271">
        <v>2499</v>
      </c>
      <c r="L15" s="250"/>
      <c r="M15" s="250"/>
      <c r="N15" s="250"/>
      <c r="O15" s="250"/>
    </row>
    <row r="16" spans="1:15" s="3" customFormat="1" ht="18">
      <c r="A16" s="11"/>
      <c r="B16" s="408" t="s">
        <v>16</v>
      </c>
      <c r="C16" s="408"/>
      <c r="D16" s="277">
        <f>2981+1</f>
        <v>2982</v>
      </c>
      <c r="E16" s="277">
        <v>2953</v>
      </c>
      <c r="F16" s="277">
        <v>3116</v>
      </c>
      <c r="G16" s="277">
        <v>3175</v>
      </c>
      <c r="H16" s="276"/>
      <c r="I16" s="277">
        <v>5973</v>
      </c>
      <c r="J16" s="277">
        <v>5935</v>
      </c>
      <c r="K16" s="277">
        <v>6291</v>
      </c>
      <c r="L16" s="250"/>
      <c r="M16" s="250"/>
      <c r="N16" s="250"/>
      <c r="O16" s="250"/>
    </row>
    <row r="17" spans="1:15" s="3" customFormat="1" ht="18">
      <c r="A17" s="11"/>
      <c r="B17" s="409" t="s">
        <v>17</v>
      </c>
      <c r="C17" s="284"/>
      <c r="D17" s="278">
        <v>-1067</v>
      </c>
      <c r="E17" s="278">
        <v>-1096</v>
      </c>
      <c r="F17" s="278">
        <v>-1070</v>
      </c>
      <c r="G17" s="278">
        <v>-1045</v>
      </c>
      <c r="H17" s="269"/>
      <c r="I17" s="278">
        <v>-2262</v>
      </c>
      <c r="J17" s="278">
        <v>-2163</v>
      </c>
      <c r="K17" s="278">
        <v>-2114</v>
      </c>
      <c r="L17" s="250"/>
      <c r="M17" s="250"/>
      <c r="N17" s="250"/>
      <c r="O17" s="250"/>
    </row>
    <row r="18" spans="1:15" s="3" customFormat="1" ht="18">
      <c r="A18" s="11"/>
      <c r="B18" s="409" t="s">
        <v>18</v>
      </c>
      <c r="C18" s="284"/>
      <c r="D18" s="278">
        <v>-141</v>
      </c>
      <c r="E18" s="278">
        <v>-141</v>
      </c>
      <c r="F18" s="278">
        <v>-139</v>
      </c>
      <c r="G18" s="278">
        <v>-157</v>
      </c>
      <c r="H18" s="269"/>
      <c r="I18" s="278">
        <v>-312</v>
      </c>
      <c r="J18" s="278">
        <v>-281</v>
      </c>
      <c r="K18" s="278">
        <v>-296</v>
      </c>
      <c r="L18" s="250"/>
      <c r="M18" s="250"/>
      <c r="N18" s="250"/>
      <c r="O18" s="250"/>
    </row>
    <row r="19" spans="1:15" ht="18">
      <c r="A19" s="16"/>
      <c r="B19" s="256" t="s">
        <v>19</v>
      </c>
      <c r="C19" s="256"/>
      <c r="D19" s="271">
        <v>-1207</v>
      </c>
      <c r="E19" s="271">
        <v>-1237</v>
      </c>
      <c r="F19" s="271">
        <v>-1209</v>
      </c>
      <c r="G19" s="271">
        <v>-1202</v>
      </c>
      <c r="H19" s="269"/>
      <c r="I19" s="271">
        <v>-2574</v>
      </c>
      <c r="J19" s="271">
        <v>-2444</v>
      </c>
      <c r="K19" s="271">
        <v>-2411</v>
      </c>
      <c r="L19" s="250"/>
      <c r="M19" s="250"/>
      <c r="N19" s="250"/>
      <c r="O19" s="250"/>
    </row>
    <row r="20" spans="1:15" s="3" customFormat="1" ht="18">
      <c r="A20" s="11"/>
      <c r="B20" s="284" t="s">
        <v>20</v>
      </c>
      <c r="C20" s="284"/>
      <c r="D20" s="279">
        <v>1775</v>
      </c>
      <c r="E20" s="279">
        <v>1716</v>
      </c>
      <c r="F20" s="279">
        <v>1907</v>
      </c>
      <c r="G20" s="279">
        <v>1974</v>
      </c>
      <c r="H20" s="276"/>
      <c r="I20" s="279">
        <v>3399</v>
      </c>
      <c r="J20" s="279">
        <v>3491</v>
      </c>
      <c r="K20" s="279">
        <v>3880</v>
      </c>
      <c r="L20" s="250"/>
      <c r="M20" s="250"/>
      <c r="N20" s="250"/>
      <c r="O20" s="250"/>
    </row>
    <row r="21" spans="1:15" ht="18">
      <c r="A21" s="11"/>
      <c r="B21" s="256" t="s">
        <v>21</v>
      </c>
      <c r="C21" s="256"/>
      <c r="D21" s="271">
        <v>-128</v>
      </c>
      <c r="E21" s="271">
        <v>-175</v>
      </c>
      <c r="F21" s="271">
        <v>-175</v>
      </c>
      <c r="G21" s="271">
        <v>-167</v>
      </c>
      <c r="H21" s="269"/>
      <c r="I21" s="271">
        <v>-359</v>
      </c>
      <c r="J21" s="271">
        <v>-303</v>
      </c>
      <c r="K21" s="271">
        <v>-343</v>
      </c>
      <c r="L21" s="250"/>
      <c r="M21" s="250"/>
      <c r="N21" s="250"/>
      <c r="O21" s="250"/>
    </row>
    <row r="22" spans="1:15" s="3" customFormat="1" ht="18">
      <c r="A22" s="11"/>
      <c r="B22" s="284" t="s">
        <v>22</v>
      </c>
      <c r="C22" s="284"/>
      <c r="D22" s="279">
        <v>1646</v>
      </c>
      <c r="E22" s="279">
        <v>1542</v>
      </c>
      <c r="F22" s="279">
        <v>1731</v>
      </c>
      <c r="G22" s="279">
        <v>1807</v>
      </c>
      <c r="H22" s="276"/>
      <c r="I22" s="279">
        <v>3040</v>
      </c>
      <c r="J22" s="279">
        <v>3188</v>
      </c>
      <c r="K22" s="279">
        <v>3538</v>
      </c>
      <c r="L22" s="250"/>
      <c r="M22" s="250"/>
      <c r="N22" s="250"/>
      <c r="O22" s="250"/>
    </row>
    <row r="23" spans="1:15" ht="18">
      <c r="A23" s="11"/>
      <c r="B23" s="251" t="s">
        <v>23</v>
      </c>
      <c r="C23" s="251"/>
      <c r="D23" s="271">
        <v>-521</v>
      </c>
      <c r="E23" s="271">
        <v>-398</v>
      </c>
      <c r="F23" s="271">
        <v>-535</v>
      </c>
      <c r="G23" s="271">
        <v>-522</v>
      </c>
      <c r="H23" s="269"/>
      <c r="I23" s="271">
        <v>-978</v>
      </c>
      <c r="J23" s="271">
        <v>-919</v>
      </c>
      <c r="K23" s="271">
        <v>-1057</v>
      </c>
      <c r="L23" s="250"/>
      <c r="M23" s="250"/>
      <c r="N23" s="250"/>
      <c r="O23" s="250"/>
    </row>
    <row r="24" spans="1:15" s="3" customFormat="1" ht="18">
      <c r="A24" s="11"/>
      <c r="B24" s="408" t="s">
        <v>24</v>
      </c>
      <c r="C24" s="408"/>
      <c r="D24" s="277">
        <f>1124+1</f>
        <v>1125</v>
      </c>
      <c r="E24" s="277">
        <v>1144</v>
      </c>
      <c r="F24" s="277">
        <v>1197</v>
      </c>
      <c r="G24" s="277">
        <v>1285</v>
      </c>
      <c r="H24" s="276"/>
      <c r="I24" s="277">
        <v>2062</v>
      </c>
      <c r="J24" s="277">
        <v>2269</v>
      </c>
      <c r="K24" s="277">
        <v>2481</v>
      </c>
      <c r="L24" s="250"/>
      <c r="M24" s="250"/>
      <c r="N24" s="250"/>
      <c r="O24" s="250"/>
    </row>
    <row r="25" spans="1:15" ht="18">
      <c r="A25" s="11"/>
      <c r="B25" s="251" t="s">
        <v>25</v>
      </c>
      <c r="C25" s="251"/>
      <c r="D25" s="271">
        <v>-4</v>
      </c>
      <c r="E25" s="271">
        <v>-4</v>
      </c>
      <c r="F25" s="271">
        <v>-7</v>
      </c>
      <c r="G25" s="271">
        <v>-4</v>
      </c>
      <c r="H25" s="269"/>
      <c r="I25" s="271">
        <v>-8</v>
      </c>
      <c r="J25" s="271">
        <v>-9</v>
      </c>
      <c r="K25" s="271">
        <v>-11</v>
      </c>
      <c r="L25" s="250"/>
      <c r="M25" s="250"/>
      <c r="N25" s="250"/>
      <c r="O25" s="250"/>
    </row>
    <row r="26" spans="1:15" s="3" customFormat="1" ht="23.65" customHeight="1" thickBot="1">
      <c r="A26" s="11"/>
      <c r="B26" s="410" t="s">
        <v>26</v>
      </c>
      <c r="C26" s="410"/>
      <c r="D26" s="280">
        <v>1121</v>
      </c>
      <c r="E26" s="280">
        <v>1140</v>
      </c>
      <c r="F26" s="280">
        <v>1190</v>
      </c>
      <c r="G26" s="280">
        <v>1280</v>
      </c>
      <c r="H26" s="276"/>
      <c r="I26" s="280">
        <v>2053</v>
      </c>
      <c r="J26" s="280">
        <v>2261</v>
      </c>
      <c r="K26" s="280">
        <v>2470</v>
      </c>
      <c r="L26" s="250"/>
      <c r="M26" s="250"/>
      <c r="N26" s="250"/>
      <c r="O26" s="250"/>
    </row>
    <row r="27" spans="1:15" ht="19.899999999999999" customHeight="1" thickTop="1">
      <c r="A27" s="11"/>
      <c r="B27" s="251" t="s">
        <v>27</v>
      </c>
      <c r="C27" s="251"/>
      <c r="D27" s="271">
        <v>1015</v>
      </c>
      <c r="E27" s="271">
        <v>-2481</v>
      </c>
      <c r="F27" s="271">
        <v>42</v>
      </c>
      <c r="G27" s="271">
        <v>1505</v>
      </c>
      <c r="H27" s="269"/>
      <c r="I27" s="271">
        <v>172</v>
      </c>
      <c r="J27" s="271">
        <v>-1466</v>
      </c>
      <c r="K27" s="271">
        <v>1547</v>
      </c>
      <c r="L27" s="250"/>
      <c r="M27" s="250"/>
      <c r="N27" s="250"/>
      <c r="O27" s="250"/>
    </row>
    <row r="28" spans="1:15" s="3" customFormat="1" ht="24.6" customHeight="1" thickBot="1">
      <c r="A28" s="11"/>
      <c r="B28" s="410" t="s">
        <v>28</v>
      </c>
      <c r="C28" s="410"/>
      <c r="D28" s="280">
        <v>2136</v>
      </c>
      <c r="E28" s="280">
        <v>-1341</v>
      </c>
      <c r="F28" s="280">
        <v>1232</v>
      </c>
      <c r="G28" s="280">
        <v>2786</v>
      </c>
      <c r="H28" s="276"/>
      <c r="I28" s="280">
        <v>2225</v>
      </c>
      <c r="J28" s="280">
        <v>795</v>
      </c>
      <c r="K28" s="280">
        <v>4017</v>
      </c>
      <c r="L28" s="250"/>
      <c r="M28" s="250"/>
      <c r="N28" s="250"/>
      <c r="O28" s="250"/>
    </row>
    <row r="29" spans="1:15" s="3" customFormat="1" ht="12" customHeight="1" thickTop="1">
      <c r="A29" s="11"/>
      <c r="B29" s="284"/>
      <c r="C29" s="284"/>
      <c r="D29" s="279"/>
      <c r="E29" s="279"/>
      <c r="F29" s="279"/>
      <c r="G29" s="279"/>
      <c r="H29" s="276"/>
      <c r="I29" s="279"/>
      <c r="J29" s="279"/>
      <c r="K29" s="279"/>
      <c r="L29" s="250"/>
      <c r="M29" s="250"/>
      <c r="N29" s="250"/>
      <c r="O29" s="250"/>
    </row>
    <row r="30" spans="1:15" s="3" customFormat="1" ht="18">
      <c r="A30" s="18" t="s">
        <v>29</v>
      </c>
      <c r="B30" s="411"/>
      <c r="C30" s="411"/>
      <c r="D30" s="412"/>
      <c r="E30" s="412"/>
      <c r="F30" s="412"/>
      <c r="G30" s="412"/>
      <c r="H30" s="413"/>
      <c r="I30" s="412"/>
      <c r="J30" s="412"/>
      <c r="K30" s="412"/>
      <c r="L30" s="250"/>
      <c r="M30" s="250"/>
      <c r="N30" s="250"/>
      <c r="O30" s="250"/>
    </row>
    <row r="31" spans="1:15" s="5" customFormat="1" ht="18">
      <c r="A31" s="21"/>
      <c r="B31" s="414" t="s">
        <v>30</v>
      </c>
      <c r="C31" s="251"/>
      <c r="D31" s="254">
        <v>2370</v>
      </c>
      <c r="E31" s="254">
        <v>2417</v>
      </c>
      <c r="F31" s="254">
        <v>2461</v>
      </c>
      <c r="G31" s="254">
        <v>2426</v>
      </c>
      <c r="H31" s="255"/>
      <c r="I31" s="254">
        <f>4964-62-70</f>
        <v>4832</v>
      </c>
      <c r="J31" s="475">
        <v>4787</v>
      </c>
      <c r="K31" s="254">
        <v>4887</v>
      </c>
      <c r="L31" s="250"/>
      <c r="M31" s="250"/>
      <c r="N31" s="250"/>
      <c r="O31" s="250"/>
    </row>
    <row r="32" spans="1:15" s="5" customFormat="1" ht="18">
      <c r="A32" s="21"/>
      <c r="B32" s="414" t="s">
        <v>31</v>
      </c>
      <c r="C32" s="251"/>
      <c r="D32" s="254">
        <v>864</v>
      </c>
      <c r="E32" s="475">
        <f>1036</f>
        <v>1036</v>
      </c>
      <c r="F32" s="254">
        <v>902</v>
      </c>
      <c r="G32" s="254">
        <v>1014</v>
      </c>
      <c r="H32" s="255"/>
      <c r="I32" s="254">
        <v>2055</v>
      </c>
      <c r="J32" s="475">
        <v>1900</v>
      </c>
      <c r="K32" s="254">
        <v>1916</v>
      </c>
      <c r="L32" s="250"/>
      <c r="M32" s="250"/>
      <c r="N32" s="250"/>
      <c r="O32" s="250"/>
    </row>
    <row r="33" spans="1:15" s="5" customFormat="1" ht="18">
      <c r="A33" s="21"/>
      <c r="B33" s="414" t="s">
        <v>32</v>
      </c>
      <c r="C33" s="251"/>
      <c r="D33" s="254">
        <v>3234</v>
      </c>
      <c r="E33" s="475">
        <f>3453</f>
        <v>3453</v>
      </c>
      <c r="F33" s="254">
        <v>3363</v>
      </c>
      <c r="G33" s="254">
        <v>3440</v>
      </c>
      <c r="H33" s="255"/>
      <c r="I33" s="254">
        <f>7020-62-71</f>
        <v>6887</v>
      </c>
      <c r="J33" s="475">
        <v>6687</v>
      </c>
      <c r="K33" s="254">
        <v>6803</v>
      </c>
      <c r="L33" s="250"/>
      <c r="M33" s="250"/>
      <c r="N33" s="250"/>
      <c r="O33" s="250"/>
    </row>
    <row r="34" spans="1:15" s="5" customFormat="1" ht="18">
      <c r="A34" s="21"/>
      <c r="B34" s="414" t="s">
        <v>33</v>
      </c>
      <c r="C34" s="251"/>
      <c r="D34" s="254">
        <v>1902</v>
      </c>
      <c r="E34" s="475">
        <f>1872</f>
        <v>1872</v>
      </c>
      <c r="F34" s="481">
        <v>1846</v>
      </c>
      <c r="G34" s="254">
        <v>2000</v>
      </c>
      <c r="H34" s="255"/>
      <c r="I34" s="254">
        <v>3846</v>
      </c>
      <c r="J34" s="475">
        <f>3774</f>
        <v>3774</v>
      </c>
      <c r="K34" s="254">
        <v>3846</v>
      </c>
      <c r="L34" s="250"/>
      <c r="M34" s="250"/>
      <c r="N34" s="250"/>
      <c r="O34" s="250"/>
    </row>
    <row r="35" spans="1:15" s="5" customFormat="1" ht="18">
      <c r="A35" s="21"/>
      <c r="B35" s="414" t="s">
        <v>34</v>
      </c>
      <c r="C35" s="251"/>
      <c r="D35" s="254">
        <v>1554</v>
      </c>
      <c r="E35" s="475">
        <f>1454</f>
        <v>1454</v>
      </c>
      <c r="F35" s="254">
        <v>1480</v>
      </c>
      <c r="G35" s="254">
        <v>1423</v>
      </c>
      <c r="H35" s="255"/>
      <c r="I35" s="254">
        <f>3069+62+71</f>
        <v>3202</v>
      </c>
      <c r="J35" s="475">
        <f>3009</f>
        <v>3009</v>
      </c>
      <c r="K35" s="254">
        <v>2903</v>
      </c>
      <c r="L35" s="250"/>
      <c r="M35" s="250"/>
      <c r="N35" s="250"/>
      <c r="O35" s="250"/>
    </row>
    <row r="36" spans="1:15" s="69" customFormat="1" ht="18">
      <c r="A36" s="71"/>
      <c r="B36" s="414" t="s">
        <v>35</v>
      </c>
      <c r="C36" s="407"/>
      <c r="D36" s="254">
        <v>174</v>
      </c>
      <c r="E36" s="254">
        <v>158</v>
      </c>
      <c r="F36" s="254">
        <v>156</v>
      </c>
      <c r="G36" s="254">
        <v>153</v>
      </c>
      <c r="H36" s="255"/>
      <c r="I36" s="254">
        <v>377</v>
      </c>
      <c r="J36" s="475">
        <v>332</v>
      </c>
      <c r="K36" s="254">
        <v>310</v>
      </c>
      <c r="L36" s="250"/>
      <c r="M36" s="250"/>
      <c r="N36" s="250"/>
      <c r="O36" s="250"/>
    </row>
    <row r="37" spans="1:15" s="5" customFormat="1" ht="18">
      <c r="A37" s="21"/>
      <c r="B37" s="251" t="s">
        <v>36</v>
      </c>
      <c r="C37" s="251"/>
      <c r="D37" s="281">
        <v>102</v>
      </c>
      <c r="E37" s="281">
        <v>97</v>
      </c>
      <c r="F37" s="281">
        <v>97</v>
      </c>
      <c r="G37" s="281">
        <v>91</v>
      </c>
      <c r="H37" s="282"/>
      <c r="I37" s="281">
        <v>218</v>
      </c>
      <c r="J37" s="542">
        <f>199</f>
        <v>199</v>
      </c>
      <c r="K37" s="281">
        <v>188</v>
      </c>
      <c r="L37" s="250"/>
      <c r="M37" s="250"/>
      <c r="N37" s="250"/>
      <c r="O37" s="250"/>
    </row>
    <row r="38" spans="1:15" s="9" customFormat="1" ht="18.75" thickBot="1">
      <c r="A38" s="23"/>
      <c r="B38" s="415" t="s">
        <v>37</v>
      </c>
      <c r="C38" s="415"/>
      <c r="D38" s="475">
        <f>49+14-1</f>
        <v>62</v>
      </c>
      <c r="E38" s="254">
        <v>65</v>
      </c>
      <c r="F38" s="254">
        <v>50</v>
      </c>
      <c r="G38" s="254">
        <v>47</v>
      </c>
      <c r="H38" s="255"/>
      <c r="I38" s="254">
        <f>70+26-1</f>
        <v>95</v>
      </c>
      <c r="J38" s="475">
        <v>127</v>
      </c>
      <c r="K38" s="254">
        <v>97</v>
      </c>
      <c r="L38" s="250"/>
      <c r="M38" s="250"/>
      <c r="N38" s="250"/>
      <c r="O38" s="250"/>
    </row>
    <row r="39" spans="1:15" s="5" customFormat="1" ht="18.75" thickBot="1">
      <c r="A39" s="21"/>
      <c r="B39" s="251"/>
      <c r="C39" s="251"/>
      <c r="D39" s="416">
        <v>7028</v>
      </c>
      <c r="E39" s="416">
        <v>7099</v>
      </c>
      <c r="F39" s="416">
        <v>6992</v>
      </c>
      <c r="G39" s="416">
        <v>7154</v>
      </c>
      <c r="H39" s="259"/>
      <c r="I39" s="416">
        <v>14624</v>
      </c>
      <c r="J39" s="416">
        <v>14128</v>
      </c>
      <c r="K39" s="416">
        <v>14146</v>
      </c>
      <c r="L39" s="250"/>
      <c r="M39" s="250"/>
      <c r="N39" s="250"/>
      <c r="O39" s="250"/>
    </row>
    <row r="40" spans="1:15" s="10" customFormat="1" ht="18">
      <c r="A40" s="24" t="s">
        <v>38</v>
      </c>
      <c r="B40" s="246"/>
      <c r="C40" s="247"/>
      <c r="D40" s="248"/>
      <c r="E40" s="248"/>
      <c r="F40" s="248"/>
      <c r="G40" s="248"/>
      <c r="H40" s="249"/>
      <c r="I40" s="248"/>
      <c r="J40" s="248"/>
      <c r="K40" s="248"/>
      <c r="L40" s="250"/>
      <c r="M40" s="250"/>
      <c r="N40" s="250"/>
      <c r="O40" s="250"/>
    </row>
    <row r="41" spans="1:15" s="5" customFormat="1" ht="21">
      <c r="A41" s="21"/>
      <c r="B41" s="404" t="s">
        <v>39</v>
      </c>
      <c r="C41" s="251"/>
      <c r="D41" s="252">
        <v>942</v>
      </c>
      <c r="E41" s="252">
        <v>948</v>
      </c>
      <c r="F41" s="252">
        <v>928</v>
      </c>
      <c r="G41" s="252">
        <v>899</v>
      </c>
      <c r="H41" s="253"/>
      <c r="I41" s="252">
        <v>1918</v>
      </c>
      <c r="J41" s="252">
        <v>1890</v>
      </c>
      <c r="K41" s="252">
        <v>1827</v>
      </c>
      <c r="L41" s="250"/>
      <c r="M41" s="250"/>
      <c r="N41" s="250"/>
      <c r="O41" s="250"/>
    </row>
    <row r="42" spans="1:15" s="5" customFormat="1" ht="23.25" customHeight="1">
      <c r="A42" s="21"/>
      <c r="B42" s="544" t="s">
        <v>40</v>
      </c>
      <c r="C42" s="251"/>
      <c r="D42" s="42">
        <f>752-16</f>
        <v>736</v>
      </c>
      <c r="E42" s="42">
        <f>729-27</f>
        <v>702</v>
      </c>
      <c r="F42" s="42">
        <f>735-25</f>
        <v>710</v>
      </c>
      <c r="G42" s="42">
        <v>695</v>
      </c>
      <c r="H42" s="552"/>
      <c r="I42" s="42">
        <v>1534</v>
      </c>
      <c r="J42" s="42">
        <f>1481-43</f>
        <v>1438</v>
      </c>
      <c r="K42" s="252">
        <v>1406</v>
      </c>
      <c r="L42" s="250"/>
      <c r="M42" s="250"/>
      <c r="N42" s="250"/>
      <c r="O42" s="250"/>
    </row>
    <row r="43" spans="1:15" s="5" customFormat="1" ht="18">
      <c r="A43" s="21"/>
      <c r="B43" s="251" t="s">
        <v>41</v>
      </c>
      <c r="C43" s="251"/>
      <c r="D43" s="42">
        <v>1475</v>
      </c>
      <c r="E43" s="42">
        <v>1321</v>
      </c>
      <c r="F43" s="42">
        <v>1321</v>
      </c>
      <c r="G43" s="42">
        <v>1312</v>
      </c>
      <c r="H43" s="552"/>
      <c r="I43" s="42">
        <v>2898</v>
      </c>
      <c r="J43" s="42">
        <v>2796</v>
      </c>
      <c r="K43" s="252">
        <v>2633</v>
      </c>
      <c r="L43" s="250"/>
      <c r="M43" s="250"/>
      <c r="N43" s="250"/>
      <c r="O43" s="250"/>
    </row>
    <row r="44" spans="1:15" s="5" customFormat="1" ht="21" customHeight="1">
      <c r="A44" s="21"/>
      <c r="B44" s="404" t="s">
        <v>42</v>
      </c>
      <c r="C44" s="251"/>
      <c r="D44" s="42">
        <f>1938+16</f>
        <v>1954</v>
      </c>
      <c r="E44" s="42">
        <f>2117+27</f>
        <v>2144</v>
      </c>
      <c r="F44" s="42">
        <f>1881+25</f>
        <v>1906</v>
      </c>
      <c r="G44" s="42">
        <v>2220</v>
      </c>
      <c r="H44" s="552"/>
      <c r="I44" s="42">
        <v>4241</v>
      </c>
      <c r="J44" s="42">
        <f>4055+43</f>
        <v>4098</v>
      </c>
      <c r="K44" s="252">
        <v>4126</v>
      </c>
      <c r="L44" s="250"/>
      <c r="M44" s="250"/>
      <c r="N44" s="250"/>
      <c r="O44" s="250"/>
    </row>
    <row r="45" spans="1:15" ht="18">
      <c r="A45" s="21"/>
      <c r="B45" s="251" t="s">
        <v>43</v>
      </c>
      <c r="C45" s="251"/>
      <c r="D45" s="254">
        <v>238</v>
      </c>
      <c r="E45" s="254">
        <v>244</v>
      </c>
      <c r="F45" s="254">
        <v>266</v>
      </c>
      <c r="G45" s="254">
        <v>269</v>
      </c>
      <c r="H45" s="255"/>
      <c r="I45" s="254">
        <v>479</v>
      </c>
      <c r="J45" s="254">
        <v>483</v>
      </c>
      <c r="K45" s="254">
        <v>535</v>
      </c>
      <c r="L45" s="250"/>
      <c r="M45" s="250"/>
      <c r="N45" s="250"/>
      <c r="O45" s="250"/>
    </row>
    <row r="46" spans="1:15" ht="18.75" thickBot="1">
      <c r="A46" s="21"/>
      <c r="B46" s="251" t="s">
        <v>37</v>
      </c>
      <c r="C46" s="251"/>
      <c r="D46" s="254">
        <v>24</v>
      </c>
      <c r="E46" s="254">
        <v>22</v>
      </c>
      <c r="F46" s="254">
        <v>41</v>
      </c>
      <c r="G46" s="254">
        <v>21</v>
      </c>
      <c r="H46" s="255"/>
      <c r="I46" s="254">
        <v>63</v>
      </c>
      <c r="J46" s="254">
        <v>45</v>
      </c>
      <c r="K46" s="254">
        <v>62</v>
      </c>
      <c r="L46" s="250"/>
      <c r="M46" s="250"/>
      <c r="N46" s="250"/>
      <c r="O46" s="250"/>
    </row>
    <row r="47" spans="1:15" ht="18">
      <c r="A47" s="22"/>
      <c r="B47" s="256"/>
      <c r="C47" s="257"/>
      <c r="D47" s="258">
        <v>5368</v>
      </c>
      <c r="E47" s="258">
        <v>5382</v>
      </c>
      <c r="F47" s="258">
        <v>5172</v>
      </c>
      <c r="G47" s="258">
        <v>5417</v>
      </c>
      <c r="H47" s="259"/>
      <c r="I47" s="258">
        <v>11134</v>
      </c>
      <c r="J47" s="258">
        <v>10750</v>
      </c>
      <c r="K47" s="258">
        <v>10589</v>
      </c>
      <c r="L47" s="250"/>
      <c r="M47" s="250"/>
      <c r="N47" s="250"/>
      <c r="O47" s="250"/>
    </row>
    <row r="48" spans="1:15" ht="18">
      <c r="A48" s="12"/>
      <c r="B48" s="251"/>
      <c r="C48" s="260"/>
      <c r="D48" s="403"/>
      <c r="E48" s="259"/>
      <c r="F48" s="259"/>
      <c r="G48" s="259"/>
      <c r="H48" s="259"/>
      <c r="I48" s="261"/>
      <c r="J48" s="250"/>
      <c r="K48" s="250"/>
      <c r="L48" s="261"/>
      <c r="M48" s="261"/>
      <c r="N48" s="261"/>
      <c r="O48" s="261"/>
    </row>
    <row r="49" spans="1:15" s="91" customFormat="1" ht="18">
      <c r="A49" s="140"/>
      <c r="B49" s="417" t="s">
        <v>44</v>
      </c>
      <c r="C49" s="417"/>
      <c r="D49" s="417"/>
      <c r="E49" s="417"/>
      <c r="F49" s="417"/>
      <c r="G49" s="417"/>
      <c r="H49" s="417"/>
      <c r="I49" s="417"/>
      <c r="J49" s="417"/>
      <c r="K49" s="417"/>
      <c r="L49" s="417"/>
      <c r="M49" s="417"/>
      <c r="N49" s="417"/>
      <c r="O49" s="407"/>
    </row>
    <row r="50" spans="1:15" s="91" customFormat="1" ht="18">
      <c r="A50" s="140"/>
      <c r="B50" s="574" t="s">
        <v>45</v>
      </c>
      <c r="C50" s="417"/>
      <c r="D50" s="417"/>
      <c r="E50" s="417"/>
      <c r="F50" s="417"/>
      <c r="G50" s="417"/>
      <c r="H50" s="417"/>
      <c r="I50" s="417"/>
      <c r="J50" s="417"/>
      <c r="K50" s="417"/>
      <c r="L50" s="417"/>
      <c r="M50" s="417"/>
      <c r="N50" s="417"/>
      <c r="O50" s="407"/>
    </row>
    <row r="51" spans="1:15" s="91" customFormat="1" ht="18">
      <c r="A51" s="140"/>
      <c r="B51" s="251" t="s">
        <v>46</v>
      </c>
      <c r="C51" s="543"/>
      <c r="D51" s="543"/>
      <c r="E51" s="543"/>
      <c r="F51" s="543"/>
      <c r="G51" s="543"/>
      <c r="H51" s="543"/>
      <c r="I51" s="543"/>
      <c r="J51" s="543"/>
      <c r="K51" s="543"/>
      <c r="L51" s="417"/>
      <c r="M51" s="417"/>
      <c r="N51" s="417"/>
      <c r="O51" s="407"/>
    </row>
    <row r="52" spans="1:15" s="12" customFormat="1" ht="18">
      <c r="A52" s="40"/>
      <c r="B52" s="417" t="s">
        <v>47</v>
      </c>
      <c r="C52" s="251"/>
      <c r="D52" s="418"/>
      <c r="E52" s="418"/>
      <c r="F52" s="418"/>
      <c r="G52" s="418"/>
      <c r="H52" s="251"/>
      <c r="I52" s="418"/>
      <c r="J52" s="418"/>
      <c r="K52" s="418"/>
      <c r="L52" s="251"/>
      <c r="M52" s="251"/>
      <c r="N52" s="251"/>
      <c r="O52" s="251"/>
    </row>
    <row r="53" spans="1:15">
      <c r="A53" s="5"/>
      <c r="B53" s="545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</row>
    <row r="54" spans="1:15" ht="13.5" customHeight="1"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</row>
    <row r="55" spans="1:15" ht="13.5" customHeight="1"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</row>
    <row r="56" spans="1:15"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</row>
    <row r="57" spans="1:15"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</row>
  </sheetData>
  <dataConsolidate/>
  <mergeCells count="3">
    <mergeCell ref="B15:C15"/>
    <mergeCell ref="D5:E5"/>
    <mergeCell ref="F5:G5"/>
  </mergeCells>
  <pageMargins left="0.31496062992125984" right="0.31496062992125984" top="0.15748031496062992" bottom="0.15748031496062992" header="0.31496062992125984" footer="0.31496062992125984"/>
  <pageSetup paperSize="9" scale="61"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1BAEC-ABB2-4475-A780-AD76B22BA2D0}">
  <sheetPr>
    <pageSetUpPr fitToPage="1"/>
  </sheetPr>
  <dimension ref="A1:J50"/>
  <sheetViews>
    <sheetView showGridLines="0" view="pageBreakPreview" zoomScale="70" zoomScaleNormal="90" zoomScaleSheetLayoutView="70" workbookViewId="0">
      <pane ySplit="6" topLeftCell="A7" activePane="bottomLeft" state="frozen"/>
      <selection activeCell="U62" sqref="U62"/>
      <selection pane="bottomLeft" activeCell="S18" sqref="S18"/>
    </sheetView>
  </sheetViews>
  <sheetFormatPr defaultColWidth="8" defaultRowHeight="12.75" customHeight="1"/>
  <cols>
    <col min="1" max="1" width="57.28515625" style="109" customWidth="1"/>
    <col min="2" max="5" width="19.7109375" style="109" customWidth="1"/>
    <col min="6" max="6" width="5.85546875" style="109" customWidth="1"/>
    <col min="7" max="8" width="19.7109375" style="109" customWidth="1"/>
    <col min="9" max="9" width="8" style="109"/>
    <col min="10" max="10" width="13.5703125" style="109" customWidth="1"/>
    <col min="11" max="16384" width="8" style="109"/>
  </cols>
  <sheetData>
    <row r="1" spans="1:10" ht="2.1" customHeight="1"/>
    <row r="2" spans="1:10" s="2" customFormat="1" ht="21" customHeight="1">
      <c r="A2" s="501" t="s">
        <v>183</v>
      </c>
      <c r="B2" s="502" t="s">
        <v>56</v>
      </c>
      <c r="C2" s="502" t="s">
        <v>56</v>
      </c>
      <c r="D2" s="502" t="s">
        <v>56</v>
      </c>
      <c r="E2" s="502" t="s">
        <v>56</v>
      </c>
      <c r="F2" s="502" t="s">
        <v>56</v>
      </c>
      <c r="G2" s="503"/>
      <c r="H2" s="503"/>
    </row>
    <row r="3" spans="1:10" s="110" customFormat="1" ht="21.75" customHeight="1">
      <c r="A3" s="504" t="s">
        <v>231</v>
      </c>
      <c r="B3" s="505"/>
      <c r="C3" s="505"/>
      <c r="D3" s="505"/>
      <c r="E3" s="505"/>
      <c r="F3" s="506" t="s">
        <v>56</v>
      </c>
      <c r="G3" s="503"/>
      <c r="H3" s="503"/>
      <c r="I3" s="573"/>
      <c r="J3" s="573"/>
    </row>
    <row r="4" spans="1:10" s="111" customFormat="1" ht="18">
      <c r="A4" s="503"/>
      <c r="B4" s="503"/>
      <c r="C4" s="503"/>
      <c r="D4" s="503"/>
      <c r="E4" s="503"/>
      <c r="F4" s="500" t="s">
        <v>56</v>
      </c>
      <c r="G4" s="503"/>
      <c r="H4" s="503"/>
      <c r="I4" s="112"/>
      <c r="J4" s="112"/>
    </row>
    <row r="5" spans="1:10" s="142" customFormat="1" ht="18">
      <c r="A5" s="507" t="s">
        <v>56</v>
      </c>
      <c r="B5" s="584" t="s">
        <v>2</v>
      </c>
      <c r="C5" s="585"/>
      <c r="D5" s="586" t="s">
        <v>3</v>
      </c>
      <c r="E5" s="587"/>
      <c r="F5" s="500" t="s">
        <v>56</v>
      </c>
      <c r="G5" s="508" t="s">
        <v>56</v>
      </c>
      <c r="H5" s="509" t="s">
        <v>56</v>
      </c>
      <c r="I5" s="112"/>
      <c r="J5" s="112"/>
    </row>
    <row r="6" spans="1:10" s="142" customFormat="1" ht="18">
      <c r="A6" s="510" t="s">
        <v>56</v>
      </c>
      <c r="B6" s="572" t="s">
        <v>5</v>
      </c>
      <c r="C6" s="572" t="s">
        <v>6</v>
      </c>
      <c r="D6" s="572" t="s">
        <v>5</v>
      </c>
      <c r="E6" s="572" t="s">
        <v>6</v>
      </c>
      <c r="F6" s="500" t="s">
        <v>56</v>
      </c>
      <c r="G6" s="570" t="s">
        <v>2</v>
      </c>
      <c r="H6" s="571" t="s">
        <v>3</v>
      </c>
      <c r="I6" s="112"/>
      <c r="J6" s="112"/>
    </row>
    <row r="7" spans="1:10" s="112" customFormat="1" ht="18">
      <c r="A7" s="482" t="s">
        <v>56</v>
      </c>
      <c r="B7" s="511" t="s">
        <v>56</v>
      </c>
      <c r="C7" s="511" t="s">
        <v>56</v>
      </c>
      <c r="D7" s="511" t="s">
        <v>56</v>
      </c>
      <c r="E7" s="511" t="s">
        <v>56</v>
      </c>
      <c r="F7" s="500" t="s">
        <v>56</v>
      </c>
      <c r="G7" s="484" t="s">
        <v>56</v>
      </c>
      <c r="H7" s="512" t="s">
        <v>56</v>
      </c>
    </row>
    <row r="8" spans="1:10" s="111" customFormat="1" ht="18">
      <c r="A8" s="482" t="s">
        <v>232</v>
      </c>
      <c r="B8" s="514">
        <v>2621</v>
      </c>
      <c r="C8" s="516">
        <v>2803</v>
      </c>
      <c r="D8" s="516">
        <v>2741</v>
      </c>
      <c r="E8" s="516">
        <v>2922</v>
      </c>
      <c r="F8" s="517" t="s">
        <v>56</v>
      </c>
      <c r="G8" s="491">
        <v>5425</v>
      </c>
      <c r="H8" s="514">
        <v>5663</v>
      </c>
      <c r="I8" s="112"/>
      <c r="J8" s="112"/>
    </row>
    <row r="9" spans="1:10" s="111" customFormat="1" ht="18">
      <c r="A9" s="482" t="s">
        <v>56</v>
      </c>
      <c r="B9" s="513" t="s">
        <v>56</v>
      </c>
      <c r="C9" s="515" t="s">
        <v>56</v>
      </c>
      <c r="D9" s="515" t="s">
        <v>56</v>
      </c>
      <c r="E9" s="515" t="s">
        <v>56</v>
      </c>
      <c r="F9" s="517" t="s">
        <v>56</v>
      </c>
      <c r="G9" s="490" t="s">
        <v>56</v>
      </c>
      <c r="H9" s="513" t="s">
        <v>56</v>
      </c>
      <c r="I9" s="112"/>
      <c r="J9" s="112"/>
    </row>
    <row r="10" spans="1:10" s="111" customFormat="1" ht="18">
      <c r="A10" s="482" t="s">
        <v>233</v>
      </c>
      <c r="B10" s="514">
        <v>1947</v>
      </c>
      <c r="C10" s="516">
        <v>1996</v>
      </c>
      <c r="D10" s="516">
        <v>2027</v>
      </c>
      <c r="E10" s="516">
        <v>2078</v>
      </c>
      <c r="F10" s="517" t="s">
        <v>56</v>
      </c>
      <c r="G10" s="491">
        <v>3943</v>
      </c>
      <c r="H10" s="514">
        <v>4105</v>
      </c>
    </row>
    <row r="11" spans="1:10" s="111" customFormat="1" ht="18">
      <c r="A11" s="482" t="s">
        <v>56</v>
      </c>
      <c r="B11" s="513" t="s">
        <v>56</v>
      </c>
      <c r="C11" s="515" t="s">
        <v>56</v>
      </c>
      <c r="D11" s="511" t="s">
        <v>56</v>
      </c>
      <c r="E11" s="511" t="s">
        <v>56</v>
      </c>
      <c r="F11" s="517" t="s">
        <v>56</v>
      </c>
      <c r="G11" s="490" t="s">
        <v>56</v>
      </c>
      <c r="H11" s="513" t="s">
        <v>56</v>
      </c>
    </row>
    <row r="12" spans="1:10" s="111" customFormat="1" ht="18">
      <c r="A12" s="518" t="s">
        <v>32</v>
      </c>
      <c r="B12" s="513" t="s">
        <v>56</v>
      </c>
      <c r="C12" s="515" t="s">
        <v>56</v>
      </c>
      <c r="D12" s="513" t="s">
        <v>56</v>
      </c>
      <c r="E12" s="513" t="s">
        <v>56</v>
      </c>
      <c r="F12" s="517" t="s">
        <v>56</v>
      </c>
      <c r="G12" s="490" t="s">
        <v>56</v>
      </c>
      <c r="H12" s="513" t="s">
        <v>56</v>
      </c>
    </row>
    <row r="13" spans="1:10" s="111" customFormat="1" ht="21">
      <c r="A13" s="518" t="s">
        <v>234</v>
      </c>
      <c r="B13" s="513" t="s">
        <v>56</v>
      </c>
      <c r="C13" s="515" t="s">
        <v>56</v>
      </c>
      <c r="D13" s="513" t="s">
        <v>56</v>
      </c>
      <c r="E13" s="513" t="s">
        <v>56</v>
      </c>
      <c r="F13" s="517" t="s">
        <v>56</v>
      </c>
      <c r="G13" s="490" t="s">
        <v>56</v>
      </c>
      <c r="H13" s="513" t="s">
        <v>56</v>
      </c>
    </row>
    <row r="14" spans="1:10" s="111" customFormat="1" ht="18">
      <c r="A14" s="519" t="s">
        <v>235</v>
      </c>
      <c r="B14" s="521">
        <v>3456</v>
      </c>
      <c r="C14" s="521">
        <v>3456</v>
      </c>
      <c r="D14" s="522">
        <v>3495</v>
      </c>
      <c r="E14" s="522">
        <v>3800</v>
      </c>
      <c r="F14" s="517" t="s">
        <v>56</v>
      </c>
      <c r="G14" s="495">
        <v>3456</v>
      </c>
      <c r="H14" s="522">
        <v>3800</v>
      </c>
    </row>
    <row r="15" spans="1:10" s="111" customFormat="1" ht="18.75">
      <c r="A15" s="523" t="s">
        <v>236</v>
      </c>
      <c r="B15" s="524" t="s">
        <v>56</v>
      </c>
      <c r="C15" s="525">
        <v>3456</v>
      </c>
      <c r="D15" s="527">
        <v>3495</v>
      </c>
      <c r="E15" s="527">
        <v>3629</v>
      </c>
      <c r="F15" s="528" t="s">
        <v>56</v>
      </c>
      <c r="G15" s="493">
        <v>3456</v>
      </c>
      <c r="H15" s="527">
        <v>3629</v>
      </c>
    </row>
    <row r="16" spans="1:10" s="112" customFormat="1" ht="18">
      <c r="A16" s="519" t="s">
        <v>237</v>
      </c>
      <c r="B16" s="521">
        <v>5985</v>
      </c>
      <c r="C16" s="521">
        <v>5960</v>
      </c>
      <c r="D16" s="522">
        <v>5996</v>
      </c>
      <c r="E16" s="522">
        <v>5841</v>
      </c>
      <c r="F16" s="517" t="s">
        <v>56</v>
      </c>
      <c r="G16" s="495">
        <v>5960</v>
      </c>
      <c r="H16" s="522">
        <v>5841</v>
      </c>
    </row>
    <row r="17" spans="1:8" s="112" customFormat="1" ht="18.75">
      <c r="A17" s="523" t="s">
        <v>236</v>
      </c>
      <c r="B17" s="524" t="s">
        <v>56</v>
      </c>
      <c r="C17" s="525">
        <v>5960</v>
      </c>
      <c r="D17" s="527">
        <v>5996</v>
      </c>
      <c r="E17" s="527">
        <v>6012</v>
      </c>
      <c r="F17" s="528" t="s">
        <v>56</v>
      </c>
      <c r="G17" s="493">
        <v>5960</v>
      </c>
      <c r="H17" s="527">
        <v>6012</v>
      </c>
    </row>
    <row r="18" spans="1:8" s="112" customFormat="1" ht="21">
      <c r="A18" s="519" t="s">
        <v>238</v>
      </c>
      <c r="B18" s="529">
        <v>1078</v>
      </c>
      <c r="C18" s="521">
        <v>1052</v>
      </c>
      <c r="D18" s="522">
        <v>1056</v>
      </c>
      <c r="E18" s="522">
        <v>1065</v>
      </c>
      <c r="F18" s="517" t="s">
        <v>56</v>
      </c>
      <c r="G18" s="531">
        <v>1052</v>
      </c>
      <c r="H18" s="522">
        <v>1065</v>
      </c>
    </row>
    <row r="19" spans="1:8" s="161" customFormat="1" ht="18.75" thickBot="1">
      <c r="A19" s="518" t="s">
        <v>193</v>
      </c>
      <c r="B19" s="532">
        <v>10519</v>
      </c>
      <c r="C19" s="533">
        <v>10468</v>
      </c>
      <c r="D19" s="534">
        <v>10548</v>
      </c>
      <c r="E19" s="534">
        <v>10706</v>
      </c>
      <c r="F19" s="517" t="s">
        <v>56</v>
      </c>
      <c r="G19" s="535">
        <v>10468</v>
      </c>
      <c r="H19" s="536">
        <v>10706</v>
      </c>
    </row>
    <row r="20" spans="1:8" s="161" customFormat="1" ht="18">
      <c r="A20" s="518" t="s">
        <v>56</v>
      </c>
      <c r="B20" s="515" t="s">
        <v>56</v>
      </c>
      <c r="C20" s="515" t="s">
        <v>56</v>
      </c>
      <c r="D20" s="513" t="s">
        <v>56</v>
      </c>
      <c r="E20" s="513" t="s">
        <v>56</v>
      </c>
      <c r="F20" s="517" t="s">
        <v>56</v>
      </c>
      <c r="G20" s="490" t="s">
        <v>56</v>
      </c>
      <c r="H20" s="512" t="s">
        <v>56</v>
      </c>
    </row>
    <row r="21" spans="1:8" s="161" customFormat="1" ht="19.5" customHeight="1">
      <c r="A21" s="518" t="s">
        <v>239</v>
      </c>
      <c r="B21" s="515" t="s">
        <v>56</v>
      </c>
      <c r="C21" s="515" t="s">
        <v>56</v>
      </c>
      <c r="D21" s="513" t="s">
        <v>56</v>
      </c>
      <c r="E21" s="513" t="s">
        <v>56</v>
      </c>
      <c r="F21" s="517" t="s">
        <v>56</v>
      </c>
      <c r="G21" s="490" t="s">
        <v>56</v>
      </c>
      <c r="H21" s="512" t="s">
        <v>56</v>
      </c>
    </row>
    <row r="22" spans="1:8" s="161" customFormat="1" ht="18">
      <c r="A22" s="484" t="s">
        <v>235</v>
      </c>
      <c r="B22" s="520">
        <v>19</v>
      </c>
      <c r="C22" s="520">
        <v>19</v>
      </c>
      <c r="D22" s="512">
        <v>19</v>
      </c>
      <c r="E22" s="512">
        <v>19</v>
      </c>
      <c r="F22" s="517" t="s">
        <v>56</v>
      </c>
      <c r="G22" s="494">
        <v>19</v>
      </c>
      <c r="H22" s="512">
        <v>19</v>
      </c>
    </row>
    <row r="23" spans="1:8" s="161" customFormat="1" ht="19.5" customHeight="1">
      <c r="A23" s="523" t="s">
        <v>236</v>
      </c>
      <c r="B23" s="524" t="s">
        <v>56</v>
      </c>
      <c r="C23" s="524">
        <v>19</v>
      </c>
      <c r="D23" s="526">
        <v>19</v>
      </c>
      <c r="E23" s="526">
        <v>19</v>
      </c>
      <c r="F23" s="528" t="s">
        <v>56</v>
      </c>
      <c r="G23" s="492">
        <v>19</v>
      </c>
      <c r="H23" s="526">
        <v>19</v>
      </c>
    </row>
    <row r="24" spans="1:8" s="161" customFormat="1" ht="18">
      <c r="A24" s="484" t="s">
        <v>240</v>
      </c>
      <c r="B24" s="520">
        <v>42</v>
      </c>
      <c r="C24" s="520">
        <v>42</v>
      </c>
      <c r="D24" s="512">
        <v>43</v>
      </c>
      <c r="E24" s="512">
        <v>44</v>
      </c>
      <c r="F24" s="517" t="s">
        <v>56</v>
      </c>
      <c r="G24" s="494">
        <v>42</v>
      </c>
      <c r="H24" s="512">
        <v>44</v>
      </c>
    </row>
    <row r="25" spans="1:8" s="113" customFormat="1" ht="18.75">
      <c r="A25" s="523" t="s">
        <v>236</v>
      </c>
      <c r="B25" s="588" t="s">
        <v>56</v>
      </c>
      <c r="C25" s="588">
        <v>42</v>
      </c>
      <c r="D25" s="589">
        <v>43</v>
      </c>
      <c r="E25" s="589">
        <v>44</v>
      </c>
      <c r="F25" s="590" t="s">
        <v>56</v>
      </c>
      <c r="G25" s="591">
        <v>42</v>
      </c>
      <c r="H25" s="589">
        <v>43</v>
      </c>
    </row>
    <row r="26" spans="1:8" s="113" customFormat="1" ht="21">
      <c r="A26" s="523" t="s">
        <v>241</v>
      </c>
      <c r="B26" s="588" t="s">
        <v>56</v>
      </c>
      <c r="C26" s="588">
        <v>46</v>
      </c>
      <c r="D26" s="589">
        <v>47</v>
      </c>
      <c r="E26" s="589">
        <v>48</v>
      </c>
      <c r="F26" s="590" t="s">
        <v>56</v>
      </c>
      <c r="G26" s="591">
        <v>46</v>
      </c>
      <c r="H26" s="589">
        <v>48</v>
      </c>
    </row>
    <row r="27" spans="1:8" s="111" customFormat="1" ht="21">
      <c r="A27" s="519" t="s">
        <v>238</v>
      </c>
      <c r="B27" s="592">
        <v>13</v>
      </c>
      <c r="C27" s="592">
        <v>13</v>
      </c>
      <c r="D27" s="593">
        <v>13</v>
      </c>
      <c r="E27" s="593">
        <v>13</v>
      </c>
      <c r="F27" s="594" t="s">
        <v>56</v>
      </c>
      <c r="G27" s="595">
        <v>13</v>
      </c>
      <c r="H27" s="596">
        <v>13</v>
      </c>
    </row>
    <row r="28" spans="1:8" s="112" customFormat="1" ht="18.75" thickBot="1">
      <c r="A28" s="482" t="s">
        <v>242</v>
      </c>
      <c r="B28" s="597">
        <v>31</v>
      </c>
      <c r="C28" s="597">
        <v>32</v>
      </c>
      <c r="D28" s="598">
        <v>32</v>
      </c>
      <c r="E28" s="598">
        <v>33</v>
      </c>
      <c r="F28" s="599" t="s">
        <v>56</v>
      </c>
      <c r="G28" s="600">
        <v>32</v>
      </c>
      <c r="H28" s="601">
        <v>32</v>
      </c>
    </row>
    <row r="29" spans="1:8" s="111" customFormat="1" ht="20.25" customHeight="1">
      <c r="A29" s="482" t="s">
        <v>56</v>
      </c>
      <c r="B29" s="602" t="s">
        <v>56</v>
      </c>
      <c r="C29" s="602" t="s">
        <v>56</v>
      </c>
      <c r="D29" s="602" t="s">
        <v>56</v>
      </c>
      <c r="E29" s="602" t="s">
        <v>56</v>
      </c>
      <c r="F29" s="599" t="s">
        <v>56</v>
      </c>
      <c r="G29" s="603" t="s">
        <v>56</v>
      </c>
      <c r="H29" s="596" t="s">
        <v>56</v>
      </c>
    </row>
    <row r="30" spans="1:8" s="118" customFormat="1" ht="21">
      <c r="A30" s="482" t="s">
        <v>243</v>
      </c>
      <c r="B30" s="602">
        <v>17</v>
      </c>
      <c r="C30" s="602">
        <v>17</v>
      </c>
      <c r="D30" s="604">
        <v>19</v>
      </c>
      <c r="E30" s="605">
        <v>20</v>
      </c>
      <c r="F30" s="599" t="s">
        <v>56</v>
      </c>
      <c r="G30" s="603">
        <v>17</v>
      </c>
      <c r="H30" s="605">
        <v>19</v>
      </c>
    </row>
    <row r="31" spans="1:8" s="111" customFormat="1" ht="18">
      <c r="A31" s="482" t="s">
        <v>56</v>
      </c>
      <c r="B31" s="602" t="s">
        <v>56</v>
      </c>
      <c r="C31" s="602" t="s">
        <v>56</v>
      </c>
      <c r="D31" s="602" t="s">
        <v>56</v>
      </c>
      <c r="E31" s="602" t="s">
        <v>56</v>
      </c>
      <c r="F31" s="599" t="s">
        <v>56</v>
      </c>
      <c r="G31" s="603" t="s">
        <v>56</v>
      </c>
      <c r="H31" s="602" t="s">
        <v>56</v>
      </c>
    </row>
    <row r="32" spans="1:8" s="111" customFormat="1" ht="21">
      <c r="A32" s="482" t="s">
        <v>244</v>
      </c>
      <c r="B32" s="602">
        <v>31.2</v>
      </c>
      <c r="C32" s="602">
        <v>30.9</v>
      </c>
      <c r="D32" s="606">
        <v>30.7</v>
      </c>
      <c r="E32" s="602">
        <v>31</v>
      </c>
      <c r="F32" s="599" t="s">
        <v>56</v>
      </c>
      <c r="G32" s="603">
        <v>30.9</v>
      </c>
      <c r="H32" s="602">
        <v>31</v>
      </c>
    </row>
    <row r="33" spans="1:8" s="111" customFormat="1" ht="23.25" customHeight="1">
      <c r="A33" s="482" t="s">
        <v>56</v>
      </c>
      <c r="B33" s="602" t="s">
        <v>56</v>
      </c>
      <c r="C33" s="602" t="s">
        <v>56</v>
      </c>
      <c r="D33" s="602" t="s">
        <v>56</v>
      </c>
      <c r="E33" s="602" t="s">
        <v>56</v>
      </c>
      <c r="F33" s="599" t="s">
        <v>56</v>
      </c>
      <c r="G33" s="603" t="s">
        <v>56</v>
      </c>
      <c r="H33" s="602" t="s">
        <v>56</v>
      </c>
    </row>
    <row r="34" spans="1:8" s="111" customFormat="1" ht="21">
      <c r="A34" s="482" t="s">
        <v>245</v>
      </c>
      <c r="B34" s="607">
        <v>1.2999999999999999E-2</v>
      </c>
      <c r="C34" s="607">
        <v>1.4E-2</v>
      </c>
      <c r="D34" s="608">
        <v>1.2999999999999999E-2</v>
      </c>
      <c r="E34" s="608">
        <v>1.2E-2</v>
      </c>
      <c r="F34" s="599" t="s">
        <v>56</v>
      </c>
      <c r="G34" s="609">
        <v>1.4E-2</v>
      </c>
      <c r="H34" s="608">
        <v>1.2E-2</v>
      </c>
    </row>
    <row r="35" spans="1:8" s="111" customFormat="1" ht="18">
      <c r="A35" s="482" t="s">
        <v>56</v>
      </c>
      <c r="B35" s="610" t="s">
        <v>56</v>
      </c>
      <c r="C35" s="610" t="s">
        <v>56</v>
      </c>
      <c r="D35" s="596" t="s">
        <v>56</v>
      </c>
      <c r="E35" s="596" t="s">
        <v>56</v>
      </c>
      <c r="F35" s="599" t="s">
        <v>56</v>
      </c>
      <c r="G35" s="611" t="s">
        <v>56</v>
      </c>
      <c r="H35" s="596" t="s">
        <v>56</v>
      </c>
    </row>
    <row r="36" spans="1:8" s="111" customFormat="1" ht="18">
      <c r="A36" s="482" t="s">
        <v>278</v>
      </c>
      <c r="B36" s="612">
        <v>72</v>
      </c>
      <c r="C36" s="610">
        <v>74</v>
      </c>
      <c r="D36" s="613">
        <v>75.400000000000006</v>
      </c>
      <c r="E36" s="596">
        <v>76</v>
      </c>
      <c r="F36" s="599" t="s">
        <v>56</v>
      </c>
      <c r="G36" s="614">
        <v>73.5</v>
      </c>
      <c r="H36" s="613">
        <v>75.8</v>
      </c>
    </row>
    <row r="37" spans="1:8" s="111" customFormat="1" ht="18">
      <c r="A37" s="482" t="s">
        <v>56</v>
      </c>
      <c r="B37" s="610" t="s">
        <v>56</v>
      </c>
      <c r="C37" s="610" t="s">
        <v>56</v>
      </c>
      <c r="D37" s="596" t="s">
        <v>56</v>
      </c>
      <c r="E37" s="596" t="s">
        <v>56</v>
      </c>
      <c r="F37" s="594" t="s">
        <v>56</v>
      </c>
      <c r="G37" s="611" t="s">
        <v>56</v>
      </c>
      <c r="H37" s="596" t="s">
        <v>56</v>
      </c>
    </row>
    <row r="38" spans="1:8" s="111" customFormat="1" ht="21">
      <c r="A38" s="518" t="s">
        <v>246</v>
      </c>
      <c r="B38" s="520" t="s">
        <v>56</v>
      </c>
      <c r="C38" s="520" t="s">
        <v>56</v>
      </c>
      <c r="D38" s="512" t="s">
        <v>56</v>
      </c>
      <c r="E38" s="512" t="s">
        <v>56</v>
      </c>
      <c r="F38" s="517" t="s">
        <v>56</v>
      </c>
      <c r="G38" s="494" t="s">
        <v>56</v>
      </c>
      <c r="H38" s="512" t="s">
        <v>56</v>
      </c>
    </row>
    <row r="39" spans="1:8" s="111" customFormat="1" ht="18">
      <c r="A39" s="484" t="s">
        <v>247</v>
      </c>
      <c r="B39" s="521">
        <v>1112</v>
      </c>
      <c r="C39" s="521">
        <v>1093</v>
      </c>
      <c r="D39" s="521">
        <v>1080</v>
      </c>
      <c r="E39" s="521">
        <v>1075</v>
      </c>
      <c r="F39" s="517" t="s">
        <v>56</v>
      </c>
      <c r="G39" s="495">
        <v>1093</v>
      </c>
      <c r="H39" s="522">
        <v>1075</v>
      </c>
    </row>
    <row r="40" spans="1:8" ht="18">
      <c r="A40" s="484" t="s">
        <v>248</v>
      </c>
      <c r="B40" s="520">
        <v>212</v>
      </c>
      <c r="C40" s="520">
        <v>217</v>
      </c>
      <c r="D40" s="520">
        <v>225</v>
      </c>
      <c r="E40" s="520">
        <v>236</v>
      </c>
      <c r="F40" s="517" t="s">
        <v>56</v>
      </c>
      <c r="G40" s="494">
        <v>217</v>
      </c>
      <c r="H40" s="512">
        <v>236</v>
      </c>
    </row>
    <row r="41" spans="1:8" ht="18.75" thickBot="1">
      <c r="A41" s="538" t="s">
        <v>193</v>
      </c>
      <c r="B41" s="533">
        <v>1324</v>
      </c>
      <c r="C41" s="533">
        <v>1310</v>
      </c>
      <c r="D41" s="533">
        <v>1305</v>
      </c>
      <c r="E41" s="533">
        <v>1310</v>
      </c>
      <c r="F41" s="537" t="s">
        <v>56</v>
      </c>
      <c r="G41" s="539">
        <v>1310</v>
      </c>
      <c r="H41" s="536">
        <v>1310</v>
      </c>
    </row>
    <row r="42" spans="1:8" ht="18">
      <c r="A42" s="540" t="s">
        <v>56</v>
      </c>
      <c r="B42" s="541" t="s">
        <v>56</v>
      </c>
      <c r="C42" s="541" t="s">
        <v>56</v>
      </c>
      <c r="D42" s="541" t="s">
        <v>56</v>
      </c>
      <c r="E42" s="541" t="s">
        <v>56</v>
      </c>
      <c r="F42" s="500" t="s">
        <v>56</v>
      </c>
      <c r="G42" s="503"/>
      <c r="H42" s="503"/>
    </row>
    <row r="43" spans="1:8" ht="20.25" customHeight="1">
      <c r="A43" s="465" t="s">
        <v>249</v>
      </c>
    </row>
    <row r="44" spans="1:8" ht="20.25" customHeight="1">
      <c r="A44" s="465" t="s">
        <v>250</v>
      </c>
    </row>
    <row r="45" spans="1:8" ht="20.25" customHeight="1">
      <c r="A45" s="465" t="s">
        <v>251</v>
      </c>
    </row>
    <row r="46" spans="1:8" ht="20.25" customHeight="1">
      <c r="A46" s="465" t="s">
        <v>252</v>
      </c>
    </row>
    <row r="47" spans="1:8" ht="20.25" customHeight="1">
      <c r="A47" s="465" t="s">
        <v>253</v>
      </c>
    </row>
    <row r="48" spans="1:8" ht="20.25" customHeight="1">
      <c r="A48" s="465" t="s">
        <v>254</v>
      </c>
    </row>
    <row r="49" spans="1:1" ht="20.25" customHeight="1">
      <c r="A49" s="465" t="s">
        <v>255</v>
      </c>
    </row>
    <row r="50" spans="1:1" ht="20.25" customHeight="1">
      <c r="A50" s="465" t="s">
        <v>279</v>
      </c>
    </row>
  </sheetData>
  <mergeCells count="2">
    <mergeCell ref="B5:C5"/>
    <mergeCell ref="D5:E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70259-ED3C-405F-9300-BCED4C631F32}">
  <sheetPr>
    <pageSetUpPr fitToPage="1"/>
  </sheetPr>
  <dimension ref="A1:S32"/>
  <sheetViews>
    <sheetView showGridLines="0" view="pageBreakPreview" zoomScale="80" zoomScaleNormal="90" zoomScaleSheetLayoutView="80" workbookViewId="0">
      <selection activeCell="P12" sqref="P12"/>
    </sheetView>
  </sheetViews>
  <sheetFormatPr defaultColWidth="9.28515625" defaultRowHeight="13.5" customHeight="1"/>
  <cols>
    <col min="1" max="1" width="1.7109375" style="2" customWidth="1"/>
    <col min="2" max="2" width="48.28515625" style="2" customWidth="1"/>
    <col min="3" max="4" width="20.7109375" style="2" hidden="1" customWidth="1"/>
    <col min="5" max="6" width="20.7109375" style="2" customWidth="1"/>
    <col min="7" max="7" width="17" style="2" customWidth="1"/>
    <col min="8" max="8" width="15" style="2" customWidth="1"/>
    <col min="9" max="9" width="3.140625" style="2" customWidth="1"/>
    <col min="10" max="10" width="17.7109375" style="2" hidden="1" customWidth="1"/>
    <col min="11" max="12" width="17.7109375" style="2" customWidth="1"/>
    <col min="13" max="13" width="9.28515625" style="2"/>
    <col min="14" max="14" width="12.7109375" style="2" bestFit="1" customWidth="1"/>
    <col min="15" max="16384" width="9.28515625" style="2"/>
  </cols>
  <sheetData>
    <row r="1" spans="1:19" ht="21" customHeight="1">
      <c r="A1" s="1" t="s">
        <v>0</v>
      </c>
    </row>
    <row r="2" spans="1:19" ht="8.25" customHeight="1"/>
    <row r="3" spans="1:19" s="70" customFormat="1" ht="18">
      <c r="A3" s="68" t="s">
        <v>256</v>
      </c>
      <c r="B3" s="69"/>
    </row>
    <row r="4" spans="1:19" s="5" customFormat="1" ht="11.25" customHeight="1">
      <c r="A4" s="10"/>
      <c r="M4" s="70"/>
      <c r="N4" s="70"/>
    </row>
    <row r="5" spans="1:19" ht="18" customHeight="1">
      <c r="A5" s="128"/>
      <c r="B5" s="131"/>
      <c r="C5" s="581" t="s">
        <v>7</v>
      </c>
      <c r="D5" s="582"/>
      <c r="E5" s="581" t="s">
        <v>2</v>
      </c>
      <c r="F5" s="582"/>
      <c r="G5" s="579" t="s">
        <v>3</v>
      </c>
      <c r="H5" s="580"/>
      <c r="I5" s="137"/>
      <c r="J5" s="185"/>
      <c r="K5" s="185"/>
      <c r="L5" s="185"/>
      <c r="M5" s="70"/>
      <c r="N5" s="70"/>
    </row>
    <row r="6" spans="1:19" ht="21" hidden="1" customHeight="1">
      <c r="A6" s="129" t="s">
        <v>4</v>
      </c>
      <c r="B6" s="167"/>
      <c r="C6" s="119"/>
      <c r="D6" s="119"/>
      <c r="E6" s="119"/>
      <c r="F6" s="119"/>
      <c r="G6" s="178" t="s">
        <v>5</v>
      </c>
      <c r="H6" s="386"/>
      <c r="I6" s="137"/>
      <c r="J6" s="169"/>
      <c r="K6" s="169"/>
      <c r="L6" s="169"/>
      <c r="M6" s="70"/>
      <c r="N6" s="70"/>
    </row>
    <row r="7" spans="1:19" ht="18">
      <c r="A7" s="166" t="s">
        <v>4</v>
      </c>
      <c r="B7" s="132"/>
      <c r="C7" s="162" t="s">
        <v>5</v>
      </c>
      <c r="D7" s="162" t="s">
        <v>6</v>
      </c>
      <c r="E7" s="162" t="s">
        <v>5</v>
      </c>
      <c r="F7" s="162" t="s">
        <v>6</v>
      </c>
      <c r="G7" s="162" t="s">
        <v>5</v>
      </c>
      <c r="H7" s="162" t="s">
        <v>6</v>
      </c>
      <c r="I7" s="137"/>
      <c r="J7" s="163" t="s">
        <v>7</v>
      </c>
      <c r="K7" s="163" t="s">
        <v>2</v>
      </c>
      <c r="L7" s="163" t="s">
        <v>3</v>
      </c>
      <c r="M7" s="70"/>
      <c r="N7" s="70"/>
    </row>
    <row r="8" spans="1:19" ht="18">
      <c r="A8" s="11" t="s">
        <v>257</v>
      </c>
      <c r="B8" s="12"/>
      <c r="C8" s="13"/>
      <c r="D8" s="13"/>
      <c r="E8" s="13"/>
      <c r="F8" s="13"/>
      <c r="G8" s="13"/>
      <c r="H8" s="13"/>
      <c r="I8" s="12"/>
      <c r="J8" s="13"/>
      <c r="K8" s="13"/>
      <c r="L8" s="13"/>
    </row>
    <row r="9" spans="1:19" ht="18">
      <c r="A9" s="11"/>
      <c r="B9" s="40" t="s">
        <v>258</v>
      </c>
      <c r="C9" s="37">
        <v>5340</v>
      </c>
      <c r="D9" s="37">
        <v>5428</v>
      </c>
      <c r="E9" s="37">
        <v>5409</v>
      </c>
      <c r="F9" s="37">
        <v>5733</v>
      </c>
      <c r="G9" s="37">
        <v>5575</v>
      </c>
      <c r="H9" s="37">
        <v>5418</v>
      </c>
      <c r="I9" s="470"/>
      <c r="J9" s="37">
        <v>5428</v>
      </c>
      <c r="K9" s="37">
        <v>5733</v>
      </c>
      <c r="L9" s="37">
        <v>5418</v>
      </c>
      <c r="M9" s="5"/>
      <c r="N9" s="108"/>
      <c r="O9" s="108"/>
      <c r="P9" s="108"/>
      <c r="Q9" s="108"/>
      <c r="R9" s="108"/>
      <c r="S9" s="108"/>
    </row>
    <row r="10" spans="1:19" ht="21">
      <c r="A10" s="11"/>
      <c r="B10" s="40" t="s">
        <v>282</v>
      </c>
      <c r="C10" s="37">
        <v>3524</v>
      </c>
      <c r="D10" s="37">
        <v>3154</v>
      </c>
      <c r="E10" s="37">
        <v>2597</v>
      </c>
      <c r="F10" s="37">
        <v>4627</v>
      </c>
      <c r="G10" s="37">
        <v>2679</v>
      </c>
      <c r="H10" s="37">
        <v>2774</v>
      </c>
      <c r="I10" s="470"/>
      <c r="J10" s="37">
        <v>3154</v>
      </c>
      <c r="K10" s="37">
        <v>4627</v>
      </c>
      <c r="L10" s="37">
        <v>2774</v>
      </c>
      <c r="M10" s="5"/>
      <c r="N10" s="108"/>
      <c r="O10" s="108"/>
      <c r="P10" s="108"/>
      <c r="Q10" s="108"/>
      <c r="R10" s="108"/>
      <c r="S10" s="108"/>
    </row>
    <row r="11" spans="1:19" ht="18">
      <c r="A11" s="11"/>
      <c r="B11" s="40" t="s">
        <v>259</v>
      </c>
      <c r="C11" s="37">
        <v>38530</v>
      </c>
      <c r="D11" s="37">
        <v>37947</v>
      </c>
      <c r="E11" s="37">
        <v>39092</v>
      </c>
      <c r="F11" s="37">
        <v>35838</v>
      </c>
      <c r="G11" s="37">
        <v>36908</v>
      </c>
      <c r="H11" s="37">
        <v>38592</v>
      </c>
      <c r="I11" s="470"/>
      <c r="J11" s="37">
        <v>37947</v>
      </c>
      <c r="K11" s="37">
        <v>35838</v>
      </c>
      <c r="L11" s="37">
        <v>38592</v>
      </c>
      <c r="M11" s="5"/>
      <c r="N11" s="108"/>
      <c r="O11" s="108"/>
      <c r="P11" s="108"/>
      <c r="Q11" s="108"/>
      <c r="R11" s="108"/>
      <c r="S11" s="108"/>
    </row>
    <row r="12" spans="1:19" s="3" customFormat="1" ht="18">
      <c r="A12" s="11"/>
      <c r="B12" s="15" t="s">
        <v>260</v>
      </c>
      <c r="C12" s="63">
        <v>47394</v>
      </c>
      <c r="D12" s="63">
        <v>46530</v>
      </c>
      <c r="E12" s="63">
        <v>47099</v>
      </c>
      <c r="F12" s="63">
        <v>46199</v>
      </c>
      <c r="G12" s="63">
        <v>45161</v>
      </c>
      <c r="H12" s="63">
        <v>46783</v>
      </c>
      <c r="I12" s="471"/>
      <c r="J12" s="63">
        <v>46530</v>
      </c>
      <c r="K12" s="63">
        <v>46199</v>
      </c>
      <c r="L12" s="63">
        <v>46783</v>
      </c>
      <c r="M12" s="5"/>
      <c r="N12" s="108"/>
      <c r="O12" s="108"/>
      <c r="P12" s="108"/>
      <c r="Q12" s="108"/>
      <c r="R12" s="108"/>
      <c r="S12" s="108"/>
    </row>
    <row r="13" spans="1:19" s="3" customFormat="1" ht="18">
      <c r="A13" s="11"/>
      <c r="B13" s="40"/>
      <c r="C13" s="37"/>
      <c r="D13" s="37"/>
      <c r="E13" s="37"/>
      <c r="F13" s="37"/>
      <c r="G13" s="37"/>
      <c r="H13" s="37"/>
      <c r="I13" s="470"/>
      <c r="J13" s="37"/>
      <c r="K13" s="37"/>
      <c r="L13" s="37"/>
      <c r="M13" s="5"/>
      <c r="N13" s="108"/>
      <c r="O13" s="108"/>
      <c r="P13" s="108"/>
      <c r="Q13" s="108"/>
      <c r="R13" s="108"/>
      <c r="S13" s="108"/>
    </row>
    <row r="14" spans="1:19" s="3" customFormat="1" ht="18">
      <c r="A14" s="11"/>
      <c r="B14" s="40" t="s">
        <v>261</v>
      </c>
      <c r="C14" s="37">
        <v>7993</v>
      </c>
      <c r="D14" s="37">
        <v>8299</v>
      </c>
      <c r="E14" s="37">
        <v>6938</v>
      </c>
      <c r="F14" s="37">
        <v>7649</v>
      </c>
      <c r="G14" s="37">
        <f>8690+314</f>
        <v>9004</v>
      </c>
      <c r="H14" s="37">
        <v>8379</v>
      </c>
      <c r="I14" s="470"/>
      <c r="J14" s="37">
        <v>8299</v>
      </c>
      <c r="K14" s="37">
        <v>7649</v>
      </c>
      <c r="L14" s="37">
        <v>8379</v>
      </c>
      <c r="M14" s="5"/>
      <c r="N14" s="108"/>
      <c r="O14" s="108"/>
      <c r="P14" s="108"/>
      <c r="Q14" s="108"/>
      <c r="R14" s="108"/>
      <c r="S14" s="108"/>
    </row>
    <row r="15" spans="1:19" ht="19.899999999999999" customHeight="1">
      <c r="A15" s="11"/>
      <c r="B15" s="40" t="s">
        <v>262</v>
      </c>
      <c r="C15" s="37">
        <v>11892</v>
      </c>
      <c r="D15" s="37">
        <v>12217</v>
      </c>
      <c r="E15" s="37">
        <v>12950</v>
      </c>
      <c r="F15" s="37">
        <v>13584</v>
      </c>
      <c r="G15" s="37">
        <v>11563</v>
      </c>
      <c r="H15" s="37">
        <v>12448</v>
      </c>
      <c r="I15" s="470"/>
      <c r="J15" s="37">
        <v>12217</v>
      </c>
      <c r="K15" s="37">
        <v>13584</v>
      </c>
      <c r="L15" s="37">
        <v>12448</v>
      </c>
      <c r="M15" s="5"/>
      <c r="N15" s="108"/>
      <c r="O15" s="108"/>
      <c r="P15" s="108"/>
      <c r="Q15" s="108"/>
      <c r="R15" s="108"/>
      <c r="S15" s="108"/>
    </row>
    <row r="16" spans="1:19" s="3" customFormat="1" ht="18">
      <c r="A16" s="11"/>
      <c r="B16" s="15" t="s">
        <v>263</v>
      </c>
      <c r="C16" s="63">
        <v>19885</v>
      </c>
      <c r="D16" s="63">
        <v>20516</v>
      </c>
      <c r="E16" s="63">
        <v>19888</v>
      </c>
      <c r="F16" s="63">
        <v>21234</v>
      </c>
      <c r="G16" s="63">
        <f>20253+314</f>
        <v>20567</v>
      </c>
      <c r="H16" s="63">
        <v>20827</v>
      </c>
      <c r="I16" s="471"/>
      <c r="J16" s="63">
        <v>20516</v>
      </c>
      <c r="K16" s="63">
        <v>21234</v>
      </c>
      <c r="L16" s="63">
        <v>20827</v>
      </c>
      <c r="M16" s="5"/>
      <c r="N16" s="108"/>
      <c r="O16" s="108"/>
      <c r="P16" s="108"/>
      <c r="Q16" s="108"/>
      <c r="R16" s="108"/>
      <c r="S16" s="108"/>
    </row>
    <row r="17" spans="1:19" ht="18">
      <c r="A17" s="16"/>
      <c r="B17" s="40"/>
      <c r="C17" s="37"/>
      <c r="D17" s="37"/>
      <c r="E17" s="37"/>
      <c r="F17" s="37"/>
      <c r="G17" s="37"/>
      <c r="H17" s="37"/>
      <c r="I17" s="470"/>
      <c r="J17" s="37"/>
      <c r="K17" s="37"/>
      <c r="L17" s="37"/>
      <c r="M17" s="5"/>
      <c r="N17" s="108"/>
      <c r="O17" s="108"/>
      <c r="P17" s="108"/>
      <c r="Q17" s="108"/>
      <c r="R17" s="108"/>
      <c r="S17" s="108"/>
    </row>
    <row r="18" spans="1:19" s="3" customFormat="1" ht="18">
      <c r="A18" s="11"/>
      <c r="B18" s="15" t="s">
        <v>264</v>
      </c>
      <c r="C18" s="64">
        <v>27509</v>
      </c>
      <c r="D18" s="64">
        <v>26014</v>
      </c>
      <c r="E18" s="64">
        <v>27211</v>
      </c>
      <c r="F18" s="64">
        <v>24965</v>
      </c>
      <c r="G18" s="64">
        <f>24908-314</f>
        <v>24594</v>
      </c>
      <c r="H18" s="64">
        <v>25956</v>
      </c>
      <c r="I18" s="471"/>
      <c r="J18" s="64">
        <v>26014</v>
      </c>
      <c r="K18" s="64">
        <v>24965</v>
      </c>
      <c r="L18" s="64">
        <v>25956</v>
      </c>
      <c r="M18" s="5"/>
      <c r="N18" s="108"/>
      <c r="O18" s="108"/>
      <c r="P18" s="108"/>
      <c r="Q18" s="108"/>
      <c r="R18" s="108"/>
      <c r="S18" s="108"/>
    </row>
    <row r="19" spans="1:19" ht="18">
      <c r="A19" s="11"/>
      <c r="B19" s="40"/>
      <c r="C19" s="37"/>
      <c r="D19" s="37"/>
      <c r="E19" s="37"/>
      <c r="F19" s="37"/>
      <c r="G19" s="37"/>
      <c r="H19" s="37"/>
      <c r="I19" s="470"/>
      <c r="J19" s="37"/>
      <c r="K19" s="37"/>
      <c r="L19" s="37"/>
      <c r="M19" s="5"/>
      <c r="N19" s="108"/>
      <c r="O19" s="108"/>
      <c r="P19" s="108"/>
      <c r="Q19" s="108"/>
      <c r="R19" s="108"/>
      <c r="S19" s="108"/>
    </row>
    <row r="20" spans="1:19" s="3" customFormat="1" ht="18">
      <c r="A20" s="11"/>
      <c r="B20" s="40" t="s">
        <v>265</v>
      </c>
      <c r="C20" s="37">
        <v>4573</v>
      </c>
      <c r="D20" s="37">
        <v>4573</v>
      </c>
      <c r="E20" s="37">
        <v>4573</v>
      </c>
      <c r="F20" s="37">
        <v>4573</v>
      </c>
      <c r="G20" s="37">
        <v>4573</v>
      </c>
      <c r="H20" s="37">
        <v>4573</v>
      </c>
      <c r="I20" s="470"/>
      <c r="J20" s="37">
        <v>4573</v>
      </c>
      <c r="K20" s="37">
        <v>4573</v>
      </c>
      <c r="L20" s="37">
        <v>4573</v>
      </c>
      <c r="M20" s="10"/>
      <c r="N20" s="108"/>
      <c r="O20" s="108"/>
      <c r="P20" s="108"/>
      <c r="Q20" s="108"/>
      <c r="R20" s="108"/>
      <c r="S20" s="108"/>
    </row>
    <row r="21" spans="1:19" ht="18">
      <c r="A21" s="11"/>
      <c r="B21" s="40" t="s">
        <v>266</v>
      </c>
      <c r="C21" s="37">
        <v>25402</v>
      </c>
      <c r="D21" s="37">
        <v>24857</v>
      </c>
      <c r="E21" s="37">
        <v>26055</v>
      </c>
      <c r="F21" s="37">
        <v>23785</v>
      </c>
      <c r="G21" s="37">
        <f>23697-314</f>
        <v>23383</v>
      </c>
      <c r="H21" s="37">
        <v>24993</v>
      </c>
      <c r="I21" s="470"/>
      <c r="J21" s="37">
        <v>24857</v>
      </c>
      <c r="K21" s="37">
        <v>23785</v>
      </c>
      <c r="L21" s="37">
        <v>24993</v>
      </c>
      <c r="M21" s="5"/>
      <c r="N21" s="108"/>
      <c r="O21" s="108"/>
      <c r="P21" s="108"/>
      <c r="Q21" s="108"/>
      <c r="R21" s="108"/>
      <c r="S21" s="108"/>
    </row>
    <row r="22" spans="1:19" s="3" customFormat="1" ht="18">
      <c r="A22" s="11"/>
      <c r="B22" s="40" t="s">
        <v>267</v>
      </c>
      <c r="C22" s="37">
        <v>-2948</v>
      </c>
      <c r="D22" s="37">
        <v>-3750</v>
      </c>
      <c r="E22" s="37">
        <v>-3975</v>
      </c>
      <c r="F22" s="37">
        <v>-4203</v>
      </c>
      <c r="G22" s="37">
        <v>-4294</v>
      </c>
      <c r="H22" s="37">
        <v>-4513</v>
      </c>
      <c r="I22" s="470"/>
      <c r="J22" s="37">
        <v>-3750</v>
      </c>
      <c r="K22" s="37">
        <v>-4203</v>
      </c>
      <c r="L22" s="37">
        <v>-4513</v>
      </c>
      <c r="M22" s="10"/>
      <c r="N22" s="108"/>
      <c r="O22" s="108"/>
      <c r="P22" s="108"/>
      <c r="Q22" s="108"/>
      <c r="R22" s="108"/>
      <c r="S22" s="108"/>
    </row>
    <row r="23" spans="1:19" ht="18">
      <c r="A23" s="11"/>
      <c r="B23" s="40" t="s">
        <v>268</v>
      </c>
      <c r="C23" s="55">
        <v>-535</v>
      </c>
      <c r="D23" s="55">
        <v>-688</v>
      </c>
      <c r="E23" s="55">
        <v>-473</v>
      </c>
      <c r="F23" s="55">
        <v>-241</v>
      </c>
      <c r="G23" s="55">
        <v>-133</v>
      </c>
      <c r="H23" s="55">
        <v>-174</v>
      </c>
      <c r="I23" s="470"/>
      <c r="J23" s="55">
        <v>-688</v>
      </c>
      <c r="K23" s="55">
        <v>-241</v>
      </c>
      <c r="L23" s="55">
        <v>-174</v>
      </c>
      <c r="M23" s="5"/>
      <c r="N23" s="108"/>
      <c r="O23" s="108"/>
      <c r="P23" s="108"/>
      <c r="Q23" s="108"/>
      <c r="R23" s="108"/>
      <c r="S23" s="108"/>
    </row>
    <row r="24" spans="1:19" s="3" customFormat="1" ht="18">
      <c r="A24" s="11"/>
      <c r="B24" s="15" t="s">
        <v>269</v>
      </c>
      <c r="C24" s="65">
        <v>26492</v>
      </c>
      <c r="D24" s="65">
        <v>24992</v>
      </c>
      <c r="E24" s="65">
        <v>26180</v>
      </c>
      <c r="F24" s="65">
        <v>23915</v>
      </c>
      <c r="G24" s="65">
        <f>23843-314</f>
        <v>23529</v>
      </c>
      <c r="H24" s="65">
        <v>24879</v>
      </c>
      <c r="I24" s="471"/>
      <c r="J24" s="65">
        <v>24992</v>
      </c>
      <c r="K24" s="65">
        <v>23915</v>
      </c>
      <c r="L24" s="65">
        <v>24879</v>
      </c>
      <c r="M24" s="10"/>
      <c r="N24" s="108"/>
      <c r="O24" s="108"/>
      <c r="P24" s="108"/>
      <c r="Q24" s="108"/>
      <c r="R24" s="108"/>
      <c r="S24" s="108"/>
    </row>
    <row r="25" spans="1:19" s="3" customFormat="1" ht="18">
      <c r="A25" s="11"/>
      <c r="B25" s="40" t="s">
        <v>270</v>
      </c>
      <c r="C25" s="37">
        <v>1013</v>
      </c>
      <c r="D25" s="37">
        <v>1013</v>
      </c>
      <c r="E25" s="37">
        <v>1013</v>
      </c>
      <c r="F25" s="37">
        <v>1013</v>
      </c>
      <c r="G25" s="37">
        <v>1013</v>
      </c>
      <c r="H25" s="37">
        <v>1013</v>
      </c>
      <c r="I25" s="470"/>
      <c r="J25" s="37">
        <v>1013</v>
      </c>
      <c r="K25" s="37">
        <v>1013</v>
      </c>
      <c r="L25" s="37">
        <v>1013</v>
      </c>
      <c r="M25" s="10"/>
      <c r="N25" s="108"/>
      <c r="O25" s="108"/>
      <c r="P25" s="108"/>
      <c r="Q25" s="108"/>
      <c r="R25" s="108"/>
      <c r="S25" s="108"/>
    </row>
    <row r="26" spans="1:19" ht="18">
      <c r="A26" s="11"/>
      <c r="B26" s="40" t="s">
        <v>271</v>
      </c>
      <c r="C26" s="66">
        <v>4</v>
      </c>
      <c r="D26" s="66">
        <v>9</v>
      </c>
      <c r="E26" s="66">
        <v>18</v>
      </c>
      <c r="F26" s="66">
        <v>37</v>
      </c>
      <c r="G26" s="66">
        <v>53</v>
      </c>
      <c r="H26" s="66">
        <v>65</v>
      </c>
      <c r="I26" s="472"/>
      <c r="J26" s="66">
        <v>9</v>
      </c>
      <c r="K26" s="66">
        <v>37</v>
      </c>
      <c r="L26" s="66">
        <v>65</v>
      </c>
      <c r="M26" s="5"/>
      <c r="N26" s="108"/>
      <c r="O26" s="108"/>
      <c r="P26" s="108"/>
      <c r="Q26" s="108"/>
      <c r="R26" s="108"/>
      <c r="S26" s="108"/>
    </row>
    <row r="27" spans="1:19" s="3" customFormat="1" ht="18">
      <c r="A27" s="54"/>
      <c r="B27" s="473" t="s">
        <v>281</v>
      </c>
      <c r="C27" s="64">
        <v>27509</v>
      </c>
      <c r="D27" s="64">
        <v>26014</v>
      </c>
      <c r="E27" s="64">
        <v>27211</v>
      </c>
      <c r="F27" s="64">
        <v>24965</v>
      </c>
      <c r="G27" s="64">
        <f>24908-314</f>
        <v>24594</v>
      </c>
      <c r="H27" s="64">
        <v>25956</v>
      </c>
      <c r="I27" s="471"/>
      <c r="J27" s="64">
        <v>26014</v>
      </c>
      <c r="K27" s="64">
        <v>24965</v>
      </c>
      <c r="L27" s="64">
        <v>25956</v>
      </c>
      <c r="M27" s="10"/>
      <c r="N27" s="108"/>
      <c r="O27" s="108"/>
      <c r="P27" s="108"/>
      <c r="Q27" s="108"/>
      <c r="R27" s="108" t="s">
        <v>272</v>
      </c>
      <c r="S27" s="108"/>
    </row>
    <row r="28" spans="1:19" ht="18">
      <c r="A28" s="20"/>
      <c r="B28" s="40"/>
      <c r="C28" s="85"/>
      <c r="D28" s="85"/>
      <c r="E28" s="85"/>
      <c r="F28" s="85"/>
      <c r="G28" s="85"/>
      <c r="H28" s="85"/>
      <c r="I28" s="85"/>
      <c r="J28" s="5"/>
      <c r="K28" s="5"/>
      <c r="L28" s="5"/>
      <c r="M28" s="5"/>
    </row>
    <row r="29" spans="1:19" s="5" customFormat="1" ht="18">
      <c r="A29" s="25"/>
      <c r="B29" s="474" t="s">
        <v>280</v>
      </c>
      <c r="C29" s="165"/>
      <c r="D29" s="165"/>
      <c r="E29" s="165"/>
      <c r="F29" s="165"/>
      <c r="G29" s="165"/>
      <c r="H29" s="165"/>
      <c r="I29" s="40"/>
      <c r="J29" s="165"/>
      <c r="K29" s="165"/>
      <c r="L29" s="165"/>
    </row>
    <row r="30" spans="1:19" s="5" customFormat="1" ht="18">
      <c r="A30" s="79"/>
      <c r="B30" s="40"/>
      <c r="C30" s="40"/>
      <c r="D30" s="40"/>
      <c r="E30" s="40"/>
      <c r="F30" s="40"/>
      <c r="G30" s="40"/>
      <c r="H30" s="40"/>
      <c r="I30" s="40"/>
    </row>
    <row r="31" spans="1:19" ht="18">
      <c r="A31" s="40"/>
      <c r="B31" s="40"/>
    </row>
    <row r="32" spans="1:19" ht="18">
      <c r="A32" s="40"/>
      <c r="B32" s="40"/>
    </row>
  </sheetData>
  <mergeCells count="3">
    <mergeCell ref="C5:D5"/>
    <mergeCell ref="E5:F5"/>
    <mergeCell ref="G5:H5"/>
  </mergeCells>
  <pageMargins left="0.70866141732283505" right="0.70866141732283505" top="0.74803149606299202" bottom="0.74803149606299202" header="0.31496062992126" footer="0.31496062992126"/>
  <pageSetup paperSize="9" scale="83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2B3F-054D-4804-B8A5-B35A9EBB6597}">
  <sheetPr>
    <pageSetUpPr fitToPage="1"/>
  </sheetPr>
  <dimension ref="A1:W46"/>
  <sheetViews>
    <sheetView view="pageBreakPreview" zoomScale="70" zoomScaleNormal="68" zoomScaleSheetLayoutView="70" workbookViewId="0">
      <pane xSplit="2" ySplit="7" topLeftCell="C8" activePane="bottomRight" state="frozen"/>
      <selection pane="topRight" activeCell="U62" sqref="U62"/>
      <selection pane="bottomLeft" activeCell="U62" sqref="U62"/>
      <selection pane="bottomRight" activeCell="O20" sqref="O20"/>
    </sheetView>
  </sheetViews>
  <sheetFormatPr defaultColWidth="9.42578125" defaultRowHeight="16.5"/>
  <cols>
    <col min="1" max="1" width="1.5703125" style="2" customWidth="1"/>
    <col min="2" max="2" width="61.42578125" style="2" customWidth="1"/>
    <col min="3" max="4" width="17" style="2" hidden="1" customWidth="1"/>
    <col min="5" max="6" width="17" style="2" customWidth="1"/>
    <col min="7" max="8" width="18.42578125" style="2" customWidth="1"/>
    <col min="9" max="9" width="3.42578125" style="2" customWidth="1"/>
    <col min="10" max="10" width="18.140625" style="2" hidden="1" customWidth="1"/>
    <col min="11" max="11" width="18.140625" style="2" customWidth="1"/>
    <col min="12" max="12" width="19.7109375" style="2" customWidth="1"/>
    <col min="13" max="16384" width="9.42578125" style="2"/>
  </cols>
  <sheetData>
    <row r="1" spans="1:23" ht="21" customHeight="1">
      <c r="A1" s="1" t="s">
        <v>0</v>
      </c>
    </row>
    <row r="2" spans="1:23" ht="8.25" customHeight="1">
      <c r="C2" s="5"/>
      <c r="D2" s="5"/>
      <c r="E2" s="5"/>
      <c r="F2" s="5"/>
      <c r="G2" s="5"/>
      <c r="H2" s="5"/>
    </row>
    <row r="3" spans="1:23" s="70" customFormat="1" ht="18">
      <c r="A3" s="68" t="s">
        <v>50</v>
      </c>
      <c r="B3" s="72"/>
      <c r="C3" s="5"/>
      <c r="D3" s="5"/>
      <c r="E3" s="5"/>
      <c r="F3" s="5"/>
      <c r="G3" s="5"/>
      <c r="H3" s="5"/>
    </row>
    <row r="4" spans="1:23" s="5" customFormat="1" ht="11.25" customHeight="1">
      <c r="A4" s="10"/>
      <c r="C4" s="2"/>
      <c r="D4" s="2"/>
      <c r="E4" s="2"/>
      <c r="F4" s="2"/>
      <c r="G4" s="2"/>
      <c r="H4" s="2"/>
    </row>
    <row r="5" spans="1:23" s="5" customFormat="1" ht="18">
      <c r="A5" s="128"/>
      <c r="B5" s="131"/>
      <c r="C5" s="581" t="s">
        <v>51</v>
      </c>
      <c r="D5" s="582"/>
      <c r="E5" s="581" t="s">
        <v>52</v>
      </c>
      <c r="F5" s="583"/>
      <c r="G5" s="579" t="s">
        <v>3</v>
      </c>
      <c r="H5" s="580"/>
      <c r="J5" s="244"/>
      <c r="K5" s="244"/>
      <c r="L5" s="185"/>
    </row>
    <row r="6" spans="1:23" s="5" customFormat="1" ht="21" hidden="1" customHeight="1">
      <c r="A6" s="129" t="s">
        <v>4</v>
      </c>
      <c r="B6" s="167"/>
      <c r="C6" s="373"/>
      <c r="D6" s="119"/>
      <c r="E6" s="120"/>
      <c r="F6" s="386"/>
      <c r="G6" s="120"/>
      <c r="H6" s="386"/>
      <c r="J6" s="206"/>
      <c r="K6" s="206"/>
      <c r="L6" s="164"/>
    </row>
    <row r="7" spans="1:23" s="5" customFormat="1" ht="18">
      <c r="A7" s="166" t="s">
        <v>53</v>
      </c>
      <c r="B7" s="177"/>
      <c r="C7" s="374" t="s">
        <v>5</v>
      </c>
      <c r="D7" s="178" t="s">
        <v>6</v>
      </c>
      <c r="E7" s="178" t="s">
        <v>5</v>
      </c>
      <c r="F7" s="402" t="s">
        <v>6</v>
      </c>
      <c r="G7" s="402" t="s">
        <v>5</v>
      </c>
      <c r="H7" s="162" t="s">
        <v>6</v>
      </c>
      <c r="J7" s="207" t="s">
        <v>7</v>
      </c>
      <c r="K7" s="207" t="s">
        <v>52</v>
      </c>
      <c r="L7" s="163" t="s">
        <v>3</v>
      </c>
    </row>
    <row r="8" spans="1:23" ht="18">
      <c r="A8" s="11" t="s">
        <v>8</v>
      </c>
      <c r="B8" s="200"/>
      <c r="C8" s="200"/>
      <c r="D8" s="200"/>
      <c r="E8" s="200"/>
      <c r="F8" s="200"/>
      <c r="G8" s="200"/>
      <c r="H8" s="200"/>
      <c r="J8" s="145"/>
      <c r="K8" s="145"/>
      <c r="L8" s="203"/>
    </row>
    <row r="9" spans="1:23" s="3" customFormat="1" ht="18">
      <c r="A9" s="11"/>
      <c r="B9" s="381" t="s">
        <v>9</v>
      </c>
      <c r="C9" s="209">
        <v>3963.2095591299999</v>
      </c>
      <c r="D9" s="208">
        <v>4089.5433918699996</v>
      </c>
      <c r="E9" s="333">
        <v>4018.1159631900023</v>
      </c>
      <c r="F9" s="208">
        <v>4044</v>
      </c>
      <c r="G9" s="208">
        <v>4022</v>
      </c>
      <c r="H9" s="483">
        <v>4155</v>
      </c>
      <c r="I9" s="210"/>
      <c r="J9" s="208">
        <v>8052.7529509799997</v>
      </c>
      <c r="K9" s="333">
        <v>8062</v>
      </c>
      <c r="L9" s="333">
        <v>8177</v>
      </c>
      <c r="Q9" s="133"/>
      <c r="R9" s="133"/>
      <c r="S9" s="133"/>
      <c r="T9" s="133"/>
      <c r="V9" s="133"/>
      <c r="W9" s="133"/>
    </row>
    <row r="10" spans="1:23" ht="18">
      <c r="A10" s="11"/>
      <c r="B10" s="200" t="s">
        <v>10</v>
      </c>
      <c r="C10" s="375">
        <v>-2962.2667838100001</v>
      </c>
      <c r="D10" s="212">
        <v>-3122.8406718699994</v>
      </c>
      <c r="E10" s="334">
        <v>-3062.2228596499967</v>
      </c>
      <c r="F10" s="212">
        <v>-3034</v>
      </c>
      <c r="G10" s="212">
        <v>-2985</v>
      </c>
      <c r="H10" s="212">
        <v>-3106</v>
      </c>
      <c r="I10" s="340"/>
      <c r="J10" s="211">
        <v>-6085.1074556799913</v>
      </c>
      <c r="K10" s="336">
        <v>-6096</v>
      </c>
      <c r="L10" s="336">
        <v>-6091</v>
      </c>
      <c r="Q10" s="133"/>
      <c r="R10" s="133"/>
      <c r="S10" s="133"/>
      <c r="T10" s="133"/>
      <c r="U10" s="3"/>
      <c r="V10" s="133"/>
      <c r="W10" s="133"/>
    </row>
    <row r="11" spans="1:23" ht="18">
      <c r="A11" s="11"/>
      <c r="B11" s="200" t="s">
        <v>11</v>
      </c>
      <c r="C11" s="215">
        <v>1000.9427753199998</v>
      </c>
      <c r="D11" s="214">
        <v>966.70272000000023</v>
      </c>
      <c r="E11" s="335">
        <v>955.89310354000554</v>
      </c>
      <c r="F11" s="214">
        <v>1010</v>
      </c>
      <c r="G11" s="214">
        <v>1038</v>
      </c>
      <c r="H11" s="486">
        <v>1048</v>
      </c>
      <c r="I11" s="340"/>
      <c r="J11" s="214">
        <v>1967.6454953000084</v>
      </c>
      <c r="K11" s="335">
        <v>1966</v>
      </c>
      <c r="L11" s="335">
        <v>2086</v>
      </c>
      <c r="Q11" s="133"/>
      <c r="R11" s="133"/>
      <c r="S11" s="133"/>
      <c r="T11" s="133"/>
      <c r="U11" s="3"/>
      <c r="V11" s="133"/>
      <c r="W11" s="133"/>
    </row>
    <row r="12" spans="1:23" ht="18">
      <c r="A12" s="11"/>
      <c r="B12" s="200" t="s">
        <v>12</v>
      </c>
      <c r="C12" s="375">
        <v>63.761294280000001</v>
      </c>
      <c r="D12" s="211">
        <v>56.675448420000023</v>
      </c>
      <c r="E12" s="336">
        <v>74.976736939999896</v>
      </c>
      <c r="F12" s="211">
        <v>63</v>
      </c>
      <c r="G12" s="211">
        <v>70</v>
      </c>
      <c r="H12" s="487">
        <v>67</v>
      </c>
      <c r="I12" s="340"/>
      <c r="J12" s="211">
        <v>120.43674270000002</v>
      </c>
      <c r="K12" s="336">
        <v>138</v>
      </c>
      <c r="L12" s="336">
        <v>137</v>
      </c>
      <c r="Q12" s="133"/>
      <c r="R12" s="133"/>
      <c r="S12" s="133"/>
      <c r="T12" s="133"/>
      <c r="U12" s="3"/>
      <c r="V12" s="133"/>
      <c r="W12" s="133"/>
    </row>
    <row r="13" spans="1:23" s="3" customFormat="1" ht="18">
      <c r="A13" s="11"/>
      <c r="B13" s="382" t="s">
        <v>13</v>
      </c>
      <c r="C13" s="209">
        <v>1064.7040695999997</v>
      </c>
      <c r="D13" s="208">
        <v>1023.3781684200003</v>
      </c>
      <c r="E13" s="333">
        <v>1030.8698404800055</v>
      </c>
      <c r="F13" s="208">
        <v>1073</v>
      </c>
      <c r="G13" s="208">
        <v>1107</v>
      </c>
      <c r="H13" s="483">
        <v>1116</v>
      </c>
      <c r="I13" s="340"/>
      <c r="J13" s="208">
        <v>2088.0822380000086</v>
      </c>
      <c r="K13" s="333">
        <v>2103</v>
      </c>
      <c r="L13" s="333">
        <v>2223</v>
      </c>
      <c r="Q13" s="133"/>
      <c r="R13" s="133"/>
      <c r="S13" s="133"/>
      <c r="T13" s="133"/>
      <c r="V13" s="133"/>
      <c r="W13" s="133"/>
    </row>
    <row r="14" spans="1:23" s="89" customFormat="1" ht="18.75">
      <c r="A14" s="90"/>
      <c r="B14" s="382" t="s">
        <v>54</v>
      </c>
      <c r="C14" s="376">
        <v>0.26864692712179533</v>
      </c>
      <c r="D14" s="216">
        <v>0.25024264822681014</v>
      </c>
      <c r="E14" s="337">
        <v>0.25655552251946279</v>
      </c>
      <c r="F14" s="216">
        <v>0.26500000000000001</v>
      </c>
      <c r="G14" s="216">
        <v>0.27500000000000002</v>
      </c>
      <c r="H14" s="553">
        <v>0.26900000000000002</v>
      </c>
      <c r="I14" s="217"/>
      <c r="J14" s="216">
        <v>0.25930042194401287</v>
      </c>
      <c r="K14" s="337">
        <v>0.26100000000000001</v>
      </c>
      <c r="L14" s="337">
        <v>0.27200000000000002</v>
      </c>
      <c r="Q14" s="133"/>
      <c r="R14" s="133"/>
      <c r="S14" s="133"/>
      <c r="T14" s="133"/>
      <c r="U14" s="3"/>
      <c r="V14" s="133"/>
      <c r="W14" s="133"/>
    </row>
    <row r="15" spans="1:23" ht="18">
      <c r="A15" s="16"/>
      <c r="B15" s="200" t="s">
        <v>19</v>
      </c>
      <c r="C15" s="215">
        <v>-900.84231848000002</v>
      </c>
      <c r="D15" s="211">
        <v>-900.61309903999995</v>
      </c>
      <c r="E15" s="336">
        <v>-889.81757963999996</v>
      </c>
      <c r="F15" s="211">
        <v>-926</v>
      </c>
      <c r="G15" s="211">
        <v>-885</v>
      </c>
      <c r="H15" s="499">
        <v>-892</v>
      </c>
      <c r="I15" s="213"/>
      <c r="J15" s="211">
        <v>-1801.4554175200001</v>
      </c>
      <c r="K15" s="336">
        <v>-1815</v>
      </c>
      <c r="L15" s="336">
        <v>-1777</v>
      </c>
      <c r="Q15" s="133"/>
      <c r="R15" s="133"/>
      <c r="S15" s="133"/>
      <c r="T15" s="133"/>
      <c r="U15" s="3"/>
      <c r="V15" s="133"/>
      <c r="W15" s="133"/>
    </row>
    <row r="16" spans="1:23" s="3" customFormat="1" ht="18">
      <c r="A16" s="54"/>
      <c r="B16" s="53" t="s">
        <v>55</v>
      </c>
      <c r="C16" s="377">
        <v>163.86175111999967</v>
      </c>
      <c r="D16" s="232">
        <v>122.76506937999989</v>
      </c>
      <c r="E16" s="346">
        <v>141.05226084000515</v>
      </c>
      <c r="F16" s="232">
        <v>147</v>
      </c>
      <c r="G16" s="232">
        <v>223</v>
      </c>
      <c r="H16" s="497">
        <v>223</v>
      </c>
      <c r="I16" s="213"/>
      <c r="J16" s="232">
        <v>286.62682048000806</v>
      </c>
      <c r="K16" s="338">
        <v>288</v>
      </c>
      <c r="L16" s="338">
        <v>446</v>
      </c>
      <c r="Q16" s="133"/>
      <c r="R16" s="133"/>
      <c r="S16" s="133"/>
      <c r="T16" s="133"/>
      <c r="V16" s="133"/>
      <c r="W16" s="133"/>
    </row>
    <row r="17" spans="1:23" s="3" customFormat="1" ht="18">
      <c r="A17" s="175"/>
      <c r="B17" s="15"/>
      <c r="C17" s="218"/>
      <c r="D17" s="218"/>
      <c r="E17" s="551"/>
      <c r="F17" s="551"/>
      <c r="G17" s="551" t="s">
        <v>56</v>
      </c>
      <c r="H17" s="498" t="s">
        <v>56</v>
      </c>
      <c r="I17" s="213"/>
      <c r="J17" s="551"/>
      <c r="K17" s="551"/>
      <c r="L17" s="489" t="s">
        <v>56</v>
      </c>
      <c r="Q17" s="133"/>
      <c r="R17" s="133"/>
      <c r="S17" s="133"/>
      <c r="T17" s="133"/>
      <c r="V17" s="133"/>
      <c r="W17" s="133"/>
    </row>
    <row r="18" spans="1:23" s="3" customFormat="1" ht="18">
      <c r="A18" s="170" t="s">
        <v>57</v>
      </c>
      <c r="B18" s="227"/>
      <c r="C18" s="234"/>
      <c r="D18" s="339"/>
      <c r="E18" s="233"/>
      <c r="F18" s="233"/>
      <c r="G18" s="233" t="s">
        <v>56</v>
      </c>
      <c r="H18" s="490" t="s">
        <v>56</v>
      </c>
      <c r="I18" s="213"/>
      <c r="J18" s="233"/>
      <c r="K18" s="233"/>
      <c r="L18" s="484" t="s">
        <v>56</v>
      </c>
      <c r="Q18" s="133"/>
      <c r="R18" s="133"/>
      <c r="S18" s="133"/>
      <c r="T18" s="133"/>
      <c r="V18" s="133"/>
      <c r="W18" s="133"/>
    </row>
    <row r="19" spans="1:23" s="3" customFormat="1" ht="18">
      <c r="A19" s="18"/>
      <c r="B19" s="82" t="s">
        <v>58</v>
      </c>
      <c r="C19" s="220">
        <v>2562.7418900999996</v>
      </c>
      <c r="D19" s="343">
        <v>2753.6462128400021</v>
      </c>
      <c r="E19" s="44">
        <v>2621.3737841499992</v>
      </c>
      <c r="F19" s="105">
        <v>2803</v>
      </c>
      <c r="G19" s="105">
        <v>2741</v>
      </c>
      <c r="H19" s="491">
        <v>2922</v>
      </c>
      <c r="I19" s="213"/>
      <c r="J19" s="105">
        <v>5316.3881029400027</v>
      </c>
      <c r="K19" s="44">
        <v>5425</v>
      </c>
      <c r="L19" s="491">
        <v>5663</v>
      </c>
      <c r="Q19" s="133"/>
      <c r="R19" s="133"/>
      <c r="S19" s="133"/>
      <c r="T19" s="133"/>
      <c r="V19" s="133"/>
      <c r="W19" s="133"/>
    </row>
    <row r="20" spans="1:23" s="97" customFormat="1" ht="18.75">
      <c r="A20" s="98"/>
      <c r="B20" s="94" t="s">
        <v>59</v>
      </c>
      <c r="C20" s="219">
        <v>1882.0209883599998</v>
      </c>
      <c r="D20" s="344">
        <v>1914.9048941000021</v>
      </c>
      <c r="E20" s="88">
        <v>1946.50237889</v>
      </c>
      <c r="F20" s="104">
        <v>1996</v>
      </c>
      <c r="G20" s="104">
        <v>2027</v>
      </c>
      <c r="H20" s="493">
        <v>2078</v>
      </c>
      <c r="I20" s="213"/>
      <c r="J20" s="104">
        <v>3796.9258824600024</v>
      </c>
      <c r="K20" s="88">
        <v>3943</v>
      </c>
      <c r="L20" s="493">
        <v>4105</v>
      </c>
      <c r="Q20" s="133"/>
      <c r="R20" s="133"/>
      <c r="S20" s="133"/>
      <c r="T20" s="133"/>
      <c r="U20" s="3"/>
      <c r="V20" s="133"/>
      <c r="W20" s="133"/>
    </row>
    <row r="21" spans="1:23" s="97" customFormat="1" ht="18.75">
      <c r="A21" s="98"/>
      <c r="B21" s="94" t="s">
        <v>60</v>
      </c>
      <c r="C21" s="219">
        <v>680.74048818999995</v>
      </c>
      <c r="D21" s="344">
        <v>838.74111755000013</v>
      </c>
      <c r="E21" s="88">
        <v>674.87084515999959</v>
      </c>
      <c r="F21" s="104">
        <v>807</v>
      </c>
      <c r="G21" s="104">
        <v>714</v>
      </c>
      <c r="H21" s="492">
        <v>844</v>
      </c>
      <c r="I21" s="213"/>
      <c r="J21" s="104">
        <v>1519.4816057399998</v>
      </c>
      <c r="K21" s="88">
        <v>1482</v>
      </c>
      <c r="L21" s="493">
        <v>1559</v>
      </c>
      <c r="Q21" s="133"/>
      <c r="R21" s="133"/>
      <c r="S21" s="133"/>
      <c r="T21" s="133"/>
      <c r="U21" s="3"/>
      <c r="V21" s="133"/>
      <c r="W21" s="133"/>
    </row>
    <row r="22" spans="1:23" s="97" customFormat="1" ht="18.75">
      <c r="A22" s="98"/>
      <c r="B22" s="94"/>
      <c r="C22" s="219"/>
      <c r="D22" s="344"/>
      <c r="E22" s="341"/>
      <c r="F22" s="104"/>
      <c r="G22" s="104" t="s">
        <v>56</v>
      </c>
      <c r="H22" s="492" t="s">
        <v>56</v>
      </c>
      <c r="I22" s="340"/>
      <c r="J22" s="104"/>
      <c r="K22" s="341"/>
      <c r="L22" s="492" t="s">
        <v>56</v>
      </c>
      <c r="M22" s="188"/>
      <c r="Q22" s="133"/>
      <c r="R22" s="133"/>
      <c r="S22" s="133"/>
      <c r="T22" s="133"/>
      <c r="U22" s="3"/>
      <c r="V22" s="133"/>
      <c r="W22" s="133"/>
    </row>
    <row r="23" spans="1:23" s="3" customFormat="1" ht="18">
      <c r="A23" s="18"/>
      <c r="B23" s="83" t="s">
        <v>61</v>
      </c>
      <c r="C23" s="204">
        <v>611.22844461000113</v>
      </c>
      <c r="D23" s="345">
        <v>609.99943488999361</v>
      </c>
      <c r="E23" s="47">
        <v>618.22121925000079</v>
      </c>
      <c r="F23" s="19">
        <v>629</v>
      </c>
      <c r="G23" s="19">
        <v>641</v>
      </c>
      <c r="H23" s="494">
        <v>654</v>
      </c>
      <c r="I23" s="340"/>
      <c r="J23" s="19">
        <v>1221.2278794799959</v>
      </c>
      <c r="K23" s="47">
        <v>1247</v>
      </c>
      <c r="L23" s="495">
        <v>1295</v>
      </c>
      <c r="M23" s="10"/>
      <c r="Q23" s="133"/>
      <c r="R23" s="133"/>
      <c r="S23" s="133"/>
      <c r="T23" s="133"/>
      <c r="V23" s="133"/>
      <c r="W23" s="133"/>
    </row>
    <row r="24" spans="1:23" s="188" customFormat="1" ht="18.75">
      <c r="A24" s="153"/>
      <c r="B24" s="94" t="s">
        <v>62</v>
      </c>
      <c r="C24" s="378">
        <v>481.98243451000019</v>
      </c>
      <c r="D24" s="342">
        <v>486.09089463999987</v>
      </c>
      <c r="E24" s="88">
        <v>493.89010621000011</v>
      </c>
      <c r="F24" s="88">
        <v>513</v>
      </c>
      <c r="G24" s="88">
        <v>520</v>
      </c>
      <c r="H24" s="488">
        <v>531</v>
      </c>
      <c r="I24" s="242"/>
      <c r="J24" s="88">
        <v>968.07332914999995</v>
      </c>
      <c r="K24" s="88">
        <v>1006</v>
      </c>
      <c r="L24" s="496">
        <v>1051</v>
      </c>
      <c r="Q24" s="155"/>
      <c r="R24" s="155"/>
      <c r="S24" s="155"/>
      <c r="T24" s="155"/>
      <c r="U24" s="10"/>
      <c r="V24" s="155"/>
      <c r="W24" s="155"/>
    </row>
    <row r="25" spans="1:23" s="188" customFormat="1" ht="18.75">
      <c r="A25" s="153"/>
      <c r="B25" s="94" t="s">
        <v>63</v>
      </c>
      <c r="C25" s="378">
        <v>87.289931140000036</v>
      </c>
      <c r="D25" s="342">
        <v>82.349271309999992</v>
      </c>
      <c r="E25" s="88">
        <v>82.168616450000002</v>
      </c>
      <c r="F25" s="88">
        <v>83</v>
      </c>
      <c r="G25" s="88">
        <v>88</v>
      </c>
      <c r="H25" s="488">
        <v>91</v>
      </c>
      <c r="I25" s="242"/>
      <c r="J25" s="88">
        <v>169.63920245</v>
      </c>
      <c r="K25" s="88">
        <v>166</v>
      </c>
      <c r="L25" s="488">
        <v>179</v>
      </c>
      <c r="Q25" s="155"/>
      <c r="R25" s="155"/>
      <c r="S25" s="155"/>
      <c r="T25" s="155"/>
      <c r="U25" s="10"/>
      <c r="V25" s="155"/>
      <c r="W25" s="155"/>
    </row>
    <row r="26" spans="1:23" s="188" customFormat="1" ht="21.75">
      <c r="A26" s="153"/>
      <c r="B26" s="94" t="s">
        <v>64</v>
      </c>
      <c r="C26" s="378">
        <v>41.956078960000923</v>
      </c>
      <c r="D26" s="342">
        <v>41.559268939994695</v>
      </c>
      <c r="E26" s="88">
        <v>42.16249667000028</v>
      </c>
      <c r="F26" s="88">
        <v>33</v>
      </c>
      <c r="G26" s="88">
        <v>33</v>
      </c>
      <c r="H26" s="488">
        <v>32</v>
      </c>
      <c r="I26" s="242"/>
      <c r="J26" s="88">
        <v>83.515347879996739</v>
      </c>
      <c r="K26" s="88">
        <v>75</v>
      </c>
      <c r="L26" s="488">
        <v>65</v>
      </c>
      <c r="Q26" s="155"/>
      <c r="R26" s="155"/>
      <c r="S26" s="155"/>
      <c r="T26" s="155"/>
      <c r="U26" s="10"/>
      <c r="V26" s="155"/>
      <c r="W26" s="155"/>
    </row>
    <row r="27" spans="1:23" s="97" customFormat="1" ht="18.75">
      <c r="A27" s="98"/>
      <c r="B27" s="94"/>
      <c r="C27" s="219"/>
      <c r="D27" s="344"/>
      <c r="E27" s="341"/>
      <c r="F27" s="104"/>
      <c r="G27" s="104" t="s">
        <v>56</v>
      </c>
      <c r="H27" s="492" t="s">
        <v>56</v>
      </c>
      <c r="I27" s="340"/>
      <c r="J27" s="104"/>
      <c r="K27" s="341"/>
      <c r="L27" s="492" t="s">
        <v>56</v>
      </c>
      <c r="M27" s="188"/>
      <c r="Q27" s="133"/>
      <c r="R27" s="133"/>
      <c r="S27" s="133"/>
      <c r="T27" s="133"/>
      <c r="U27" s="3"/>
      <c r="V27" s="133"/>
      <c r="W27" s="133"/>
    </row>
    <row r="28" spans="1:23" s="97" customFormat="1" ht="18.75">
      <c r="A28" s="98"/>
      <c r="B28" s="82" t="s">
        <v>65</v>
      </c>
      <c r="C28" s="219">
        <v>0.25797103999999998</v>
      </c>
      <c r="D28" s="344">
        <v>0.15272311999999999</v>
      </c>
      <c r="E28" s="104">
        <v>0</v>
      </c>
      <c r="F28" s="388" t="s">
        <v>66</v>
      </c>
      <c r="G28" s="388" t="s">
        <v>67</v>
      </c>
      <c r="H28" s="492" t="s">
        <v>56</v>
      </c>
      <c r="I28" s="340"/>
      <c r="J28" s="104">
        <v>0.41069415999999997</v>
      </c>
      <c r="K28" s="388" t="s">
        <v>66</v>
      </c>
      <c r="L28" s="492" t="s">
        <v>68</v>
      </c>
      <c r="M28" s="188"/>
      <c r="Q28" s="133"/>
      <c r="R28" s="133"/>
      <c r="S28" s="133"/>
      <c r="T28" s="133"/>
      <c r="U28" s="3"/>
      <c r="V28" s="133"/>
      <c r="W28" s="133"/>
    </row>
    <row r="29" spans="1:23" s="74" customFormat="1" ht="18">
      <c r="A29" s="73"/>
      <c r="B29" s="82" t="s">
        <v>69</v>
      </c>
      <c r="C29" s="379">
        <v>788.98125337999909</v>
      </c>
      <c r="D29" s="347">
        <v>725.74502102000315</v>
      </c>
      <c r="E29" s="115">
        <v>778.52095979000228</v>
      </c>
      <c r="F29" s="115">
        <v>612</v>
      </c>
      <c r="G29" s="115">
        <v>640</v>
      </c>
      <c r="H29" s="530">
        <v>579</v>
      </c>
      <c r="I29" s="340"/>
      <c r="J29" s="115">
        <v>1514.7262744000009</v>
      </c>
      <c r="K29" s="115">
        <v>1390</v>
      </c>
      <c r="L29" s="531">
        <v>1219</v>
      </c>
      <c r="M29" s="141"/>
      <c r="Q29" s="133"/>
      <c r="R29" s="133"/>
      <c r="S29" s="133"/>
      <c r="T29" s="133"/>
      <c r="U29" s="3"/>
      <c r="V29" s="133"/>
      <c r="W29" s="133"/>
    </row>
    <row r="30" spans="1:23" ht="17.850000000000001" customHeight="1">
      <c r="A30" s="21"/>
      <c r="B30" s="84"/>
      <c r="C30" s="209">
        <v>3963.2095591299999</v>
      </c>
      <c r="D30" s="209">
        <v>4089.5433918699987</v>
      </c>
      <c r="E30" s="333">
        <v>4018.1159631900018</v>
      </c>
      <c r="F30" s="209">
        <v>4044</v>
      </c>
      <c r="G30" s="209">
        <v>4022</v>
      </c>
      <c r="H30" s="491">
        <v>4155</v>
      </c>
      <c r="I30" s="213"/>
      <c r="J30" s="208">
        <v>8052.7529509799997</v>
      </c>
      <c r="K30" s="333">
        <v>8062</v>
      </c>
      <c r="L30" s="491">
        <v>8177</v>
      </c>
      <c r="Q30" s="133"/>
      <c r="R30" s="133"/>
      <c r="S30" s="133"/>
      <c r="T30" s="133"/>
      <c r="U30" s="3"/>
      <c r="V30" s="133"/>
      <c r="W30" s="133"/>
    </row>
    <row r="31" spans="1:23" ht="18">
      <c r="A31" s="21"/>
      <c r="B31" s="84"/>
      <c r="C31" s="220"/>
      <c r="D31" s="220"/>
      <c r="E31" s="105"/>
      <c r="F31" s="220"/>
      <c r="G31" s="220" t="s">
        <v>56</v>
      </c>
      <c r="H31" s="490" t="s">
        <v>56</v>
      </c>
      <c r="I31" s="213"/>
      <c r="J31" s="105"/>
      <c r="K31" s="105"/>
      <c r="L31" s="484" t="s">
        <v>56</v>
      </c>
      <c r="Q31" s="133"/>
      <c r="R31" s="133"/>
      <c r="S31" s="133"/>
      <c r="T31" s="133"/>
      <c r="U31" s="3"/>
      <c r="V31" s="133"/>
      <c r="W31" s="133"/>
    </row>
    <row r="32" spans="1:23" ht="18">
      <c r="A32" s="18" t="s">
        <v>70</v>
      </c>
      <c r="B32" s="550"/>
      <c r="C32" s="549"/>
      <c r="D32" s="549"/>
      <c r="E32" s="548"/>
      <c r="F32" s="549"/>
      <c r="G32" s="549"/>
      <c r="H32" s="490" t="s">
        <v>56</v>
      </c>
      <c r="I32" s="213"/>
      <c r="J32" s="548"/>
      <c r="K32" s="548"/>
      <c r="L32" s="484" t="s">
        <v>56</v>
      </c>
      <c r="Q32" s="133"/>
      <c r="R32" s="133"/>
      <c r="S32" s="133"/>
      <c r="T32" s="133"/>
      <c r="U32" s="3"/>
      <c r="V32" s="133"/>
      <c r="W32" s="133"/>
    </row>
    <row r="33" spans="1:23" ht="21">
      <c r="A33" s="21"/>
      <c r="B33" s="404" t="s">
        <v>273</v>
      </c>
      <c r="C33" s="215">
        <v>604.85551328999998</v>
      </c>
      <c r="D33" s="215">
        <v>629.61891286000014</v>
      </c>
      <c r="E33" s="334">
        <v>650.27783848000001</v>
      </c>
      <c r="F33" s="215">
        <v>622</v>
      </c>
      <c r="G33" s="215">
        <v>644</v>
      </c>
      <c r="H33" s="484">
        <v>601</v>
      </c>
      <c r="I33" s="213"/>
      <c r="J33" s="212">
        <v>1234.4744261500002</v>
      </c>
      <c r="K33" s="334">
        <v>1272</v>
      </c>
      <c r="L33" s="485">
        <v>1245</v>
      </c>
      <c r="Q33" s="133"/>
      <c r="R33" s="133"/>
      <c r="S33" s="133"/>
      <c r="T33" s="133"/>
      <c r="U33" s="3"/>
      <c r="V33" s="133"/>
      <c r="W33" s="133"/>
    </row>
    <row r="34" spans="1:23" ht="21">
      <c r="A34" s="21"/>
      <c r="B34" s="84" t="s">
        <v>286</v>
      </c>
      <c r="C34" s="215">
        <v>586.95545044000005</v>
      </c>
      <c r="D34" s="215">
        <v>584.45600622000234</v>
      </c>
      <c r="E34" s="215">
        <f>593.195443640001-18</f>
        <v>575.19544364000103</v>
      </c>
      <c r="F34" s="215">
        <v>545</v>
      </c>
      <c r="G34" s="215">
        <f>582-29</f>
        <v>553</v>
      </c>
      <c r="H34" s="575">
        <v>558</v>
      </c>
      <c r="I34" s="340"/>
      <c r="J34" s="212">
        <v>1171.4114566600024</v>
      </c>
      <c r="K34" s="334">
        <v>1120</v>
      </c>
      <c r="L34" s="555">
        <v>1112</v>
      </c>
      <c r="Q34" s="133"/>
      <c r="R34" s="133"/>
      <c r="S34" s="133"/>
      <c r="T34" s="133"/>
      <c r="U34" s="3"/>
      <c r="V34" s="133"/>
      <c r="W34" s="133"/>
    </row>
    <row r="35" spans="1:23" ht="18">
      <c r="A35" s="21"/>
      <c r="B35" s="84" t="s">
        <v>41</v>
      </c>
      <c r="C35" s="215">
        <v>512.45286294000005</v>
      </c>
      <c r="D35" s="215">
        <v>503.96495625</v>
      </c>
      <c r="E35" s="215">
        <v>513.72368720000009</v>
      </c>
      <c r="F35" s="215">
        <v>484</v>
      </c>
      <c r="G35" s="215">
        <v>460</v>
      </c>
      <c r="H35" s="575">
        <v>471</v>
      </c>
      <c r="I35" s="340"/>
      <c r="J35" s="212">
        <v>1016.4178191900004</v>
      </c>
      <c r="K35" s="334">
        <v>998</v>
      </c>
      <c r="L35" s="484">
        <v>931</v>
      </c>
      <c r="Q35" s="133"/>
      <c r="R35" s="133"/>
      <c r="S35" s="133"/>
      <c r="T35" s="133"/>
      <c r="U35" s="3"/>
      <c r="V35" s="133"/>
      <c r="W35" s="133"/>
    </row>
    <row r="36" spans="1:23" ht="21">
      <c r="A36" s="21"/>
      <c r="B36" s="84" t="s">
        <v>285</v>
      </c>
      <c r="C36" s="215">
        <v>1097.0858362500001</v>
      </c>
      <c r="D36" s="215">
        <v>1231.8489815199989</v>
      </c>
      <c r="E36" s="215">
        <f>1135.06929743+18</f>
        <v>1153.06929743</v>
      </c>
      <c r="F36" s="215">
        <v>1199</v>
      </c>
      <c r="G36" s="215">
        <f>1095+29</f>
        <v>1124</v>
      </c>
      <c r="H36" s="576">
        <v>1273</v>
      </c>
      <c r="I36" s="340"/>
      <c r="J36" s="212">
        <v>2328.934817769999</v>
      </c>
      <c r="K36" s="334">
        <v>2352</v>
      </c>
      <c r="L36" s="485">
        <v>2396</v>
      </c>
      <c r="Q36" s="133"/>
      <c r="R36" s="133"/>
      <c r="S36" s="133"/>
      <c r="T36" s="133"/>
      <c r="U36" s="3"/>
      <c r="V36" s="133"/>
      <c r="W36" s="133"/>
    </row>
    <row r="37" spans="1:23" ht="18">
      <c r="A37" s="21"/>
      <c r="B37" s="84" t="s">
        <v>43</v>
      </c>
      <c r="C37" s="215">
        <v>126.19641123000001</v>
      </c>
      <c r="D37" s="215">
        <v>138.19096518000003</v>
      </c>
      <c r="E37" s="334">
        <v>141.90130920000004</v>
      </c>
      <c r="F37" s="215">
        <v>148</v>
      </c>
      <c r="G37" s="215">
        <v>167</v>
      </c>
      <c r="H37" s="484">
        <v>171</v>
      </c>
      <c r="I37" s="213"/>
      <c r="J37" s="212">
        <v>264.38737641000006</v>
      </c>
      <c r="K37" s="334">
        <v>290</v>
      </c>
      <c r="L37" s="484">
        <v>337</v>
      </c>
      <c r="Q37" s="133"/>
      <c r="R37" s="133"/>
      <c r="S37" s="133"/>
      <c r="T37" s="133"/>
      <c r="U37" s="3"/>
      <c r="V37" s="133"/>
      <c r="W37" s="133"/>
    </row>
    <row r="38" spans="1:23" ht="18.75" thickBot="1">
      <c r="A38" s="38"/>
      <c r="B38" s="102" t="s">
        <v>37</v>
      </c>
      <c r="C38" s="375">
        <v>34.720709659999997</v>
      </c>
      <c r="D38" s="375">
        <v>34.760849840000006</v>
      </c>
      <c r="E38" s="336">
        <v>28.055283699999997</v>
      </c>
      <c r="F38" s="375">
        <v>36</v>
      </c>
      <c r="G38" s="375">
        <v>37</v>
      </c>
      <c r="H38" s="484">
        <v>32</v>
      </c>
      <c r="I38" s="213"/>
      <c r="J38" s="221">
        <v>69.481559500000003</v>
      </c>
      <c r="K38" s="334">
        <v>64</v>
      </c>
      <c r="L38" s="484">
        <v>69</v>
      </c>
      <c r="Q38" s="133"/>
      <c r="R38" s="133"/>
      <c r="S38" s="133"/>
      <c r="T38" s="133"/>
      <c r="U38" s="3"/>
      <c r="V38" s="133"/>
      <c r="W38" s="133"/>
    </row>
    <row r="39" spans="1:23" ht="18">
      <c r="A39" s="38"/>
      <c r="B39" s="102"/>
      <c r="C39" s="380">
        <v>2962.2667838100001</v>
      </c>
      <c r="D39" s="380">
        <v>3122.8406718700016</v>
      </c>
      <c r="E39" s="346">
        <v>3062.2228596500008</v>
      </c>
      <c r="F39" s="380">
        <v>3034</v>
      </c>
      <c r="G39" s="380">
        <v>2985</v>
      </c>
      <c r="H39" s="554">
        <v>3106</v>
      </c>
      <c r="I39" s="213"/>
      <c r="J39" s="222">
        <v>6085.1074556800013</v>
      </c>
      <c r="K39" s="338">
        <v>6096</v>
      </c>
      <c r="L39" s="554">
        <v>6091</v>
      </c>
      <c r="Q39" s="133"/>
      <c r="R39" s="133"/>
      <c r="S39" s="133"/>
      <c r="T39" s="133"/>
      <c r="U39" s="3"/>
      <c r="V39" s="133"/>
      <c r="W39" s="133"/>
    </row>
    <row r="40" spans="1:23" ht="18">
      <c r="A40" s="40"/>
      <c r="B40" s="40"/>
      <c r="C40" s="547"/>
      <c r="D40" s="547"/>
      <c r="E40" s="547"/>
      <c r="F40" s="547"/>
      <c r="G40" s="547"/>
      <c r="H40" s="547"/>
      <c r="I40" s="57"/>
    </row>
    <row r="41" spans="1:23" ht="18">
      <c r="A41" s="40"/>
      <c r="B41" s="40" t="s">
        <v>284</v>
      </c>
      <c r="C41" s="547"/>
      <c r="D41" s="547"/>
      <c r="E41" s="547"/>
      <c r="F41" s="547"/>
      <c r="G41" s="547"/>
      <c r="H41" s="547"/>
      <c r="I41" s="57"/>
    </row>
    <row r="42" spans="1:23" ht="18.75">
      <c r="B42" s="500" t="s">
        <v>287</v>
      </c>
      <c r="C42" s="500"/>
      <c r="D42" s="500"/>
      <c r="E42" s="12"/>
      <c r="F42" s="12"/>
      <c r="G42" s="12"/>
      <c r="H42" s="12"/>
    </row>
    <row r="43" spans="1:23" ht="18">
      <c r="B43" s="500" t="s">
        <v>283</v>
      </c>
      <c r="C43" s="500"/>
      <c r="D43" s="500"/>
      <c r="E43" s="12"/>
      <c r="F43" s="12"/>
      <c r="G43" s="12"/>
      <c r="H43" s="12"/>
    </row>
    <row r="44" spans="1:23" ht="18.75">
      <c r="A44" s="12"/>
      <c r="B44" s="500" t="s">
        <v>288</v>
      </c>
      <c r="C44" s="500"/>
      <c r="D44" s="500"/>
      <c r="E44" s="406"/>
      <c r="F44" s="406"/>
      <c r="G44" s="406"/>
      <c r="H44" s="406"/>
      <c r="I44" s="406"/>
      <c r="J44" s="406"/>
      <c r="K44" s="406"/>
    </row>
    <row r="45" spans="1:23" ht="18">
      <c r="C45" s="91"/>
      <c r="D45" s="91"/>
      <c r="E45" s="91"/>
      <c r="F45" s="91"/>
      <c r="G45" s="91"/>
      <c r="H45" s="91"/>
    </row>
    <row r="46" spans="1:23" ht="18">
      <c r="C46" s="12"/>
      <c r="D46" s="12"/>
      <c r="E46" s="12"/>
      <c r="F46" s="12"/>
      <c r="G46" s="12"/>
      <c r="H46" s="12"/>
    </row>
  </sheetData>
  <mergeCells count="3"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F0D6E-C97F-4C04-BB64-B81DFECC5603}">
  <sheetPr>
    <pageSetUpPr fitToPage="1"/>
  </sheetPr>
  <dimension ref="A1:P54"/>
  <sheetViews>
    <sheetView view="pageBreakPreview" zoomScale="70" zoomScaleNormal="70" zoomScaleSheetLayoutView="70" workbookViewId="0">
      <selection activeCell="B47" sqref="B47"/>
    </sheetView>
  </sheetViews>
  <sheetFormatPr defaultColWidth="9.28515625" defaultRowHeight="16.5"/>
  <cols>
    <col min="1" max="1" width="1.7109375" style="2" customWidth="1"/>
    <col min="2" max="2" width="76" style="2" customWidth="1"/>
    <col min="3" max="4" width="20" style="2" hidden="1" customWidth="1"/>
    <col min="5" max="6" width="18.42578125" style="2" customWidth="1"/>
    <col min="7" max="8" width="17.5703125" style="2" customWidth="1"/>
    <col min="9" max="9" width="13" style="5" customWidth="1"/>
    <col min="10" max="10" width="15.85546875" style="2" hidden="1" customWidth="1"/>
    <col min="11" max="11" width="16" style="2" customWidth="1"/>
    <col min="12" max="12" width="17.140625" style="5" customWidth="1"/>
    <col min="13" max="13" width="11.85546875" style="5" customWidth="1"/>
    <col min="14" max="16" width="9.28515625" style="5"/>
    <col min="17" max="16384" width="9.28515625" style="2"/>
  </cols>
  <sheetData>
    <row r="1" spans="1:16" ht="21" customHeight="1">
      <c r="A1" s="1" t="s">
        <v>0</v>
      </c>
    </row>
    <row r="2" spans="1:16" ht="8.25" customHeight="1">
      <c r="C2" s="5"/>
      <c r="D2" s="5"/>
      <c r="E2" s="5"/>
    </row>
    <row r="3" spans="1:16" s="70" customFormat="1" ht="18">
      <c r="A3" s="68" t="s">
        <v>73</v>
      </c>
      <c r="B3" s="69"/>
      <c r="C3" s="5"/>
      <c r="D3" s="5"/>
      <c r="E3" s="261"/>
      <c r="F3" s="69"/>
      <c r="G3" s="69"/>
      <c r="H3" s="69"/>
      <c r="I3" s="69"/>
      <c r="L3" s="69"/>
      <c r="M3" s="69"/>
      <c r="N3" s="69"/>
      <c r="O3" s="69"/>
      <c r="P3" s="69"/>
    </row>
    <row r="4" spans="1:16" s="5" customFormat="1" ht="11.25" customHeight="1">
      <c r="A4" s="7"/>
      <c r="B4" s="6"/>
      <c r="C4" s="2"/>
      <c r="D4" s="2"/>
      <c r="E4" s="2"/>
    </row>
    <row r="5" spans="1:16" ht="18" customHeight="1">
      <c r="A5" s="128"/>
      <c r="B5" s="126"/>
      <c r="C5" s="581" t="s">
        <v>74</v>
      </c>
      <c r="D5" s="582"/>
      <c r="E5" s="581" t="s">
        <v>2</v>
      </c>
      <c r="F5" s="582"/>
      <c r="G5" s="579" t="s">
        <v>3</v>
      </c>
      <c r="H5" s="580"/>
      <c r="I5" s="137"/>
      <c r="J5" s="185"/>
      <c r="K5" s="185"/>
      <c r="L5" s="190"/>
    </row>
    <row r="6" spans="1:16" ht="17.45" hidden="1" customHeight="1">
      <c r="A6" s="129" t="s">
        <v>4</v>
      </c>
      <c r="B6" s="127"/>
      <c r="C6" s="119"/>
      <c r="D6" s="119"/>
      <c r="E6" s="120"/>
      <c r="F6" s="387"/>
      <c r="G6" s="120"/>
      <c r="H6" s="386"/>
      <c r="J6" s="164"/>
      <c r="K6" s="164"/>
      <c r="L6" s="143"/>
    </row>
    <row r="7" spans="1:16" ht="18">
      <c r="A7" s="166" t="s">
        <v>4</v>
      </c>
      <c r="B7" s="563"/>
      <c r="C7" s="162" t="s">
        <v>5</v>
      </c>
      <c r="D7" s="162" t="s">
        <v>6</v>
      </c>
      <c r="E7" s="162" t="s">
        <v>5</v>
      </c>
      <c r="F7" s="162" t="s">
        <v>6</v>
      </c>
      <c r="G7" s="178" t="s">
        <v>5</v>
      </c>
      <c r="H7" s="162" t="s">
        <v>6</v>
      </c>
      <c r="I7" s="137"/>
      <c r="J7" s="163" t="s">
        <v>7</v>
      </c>
      <c r="K7" s="163" t="s">
        <v>2</v>
      </c>
      <c r="L7" s="163" t="s">
        <v>3</v>
      </c>
    </row>
    <row r="8" spans="1:16" ht="18">
      <c r="A8" s="11" t="s">
        <v>8</v>
      </c>
      <c r="B8" s="12"/>
      <c r="C8" s="13"/>
      <c r="D8" s="13"/>
      <c r="E8" s="13"/>
      <c r="F8" s="13"/>
      <c r="G8" s="13"/>
      <c r="H8" s="13"/>
      <c r="I8" s="40"/>
      <c r="J8" s="13"/>
      <c r="K8" s="13"/>
      <c r="L8" s="13"/>
    </row>
    <row r="9" spans="1:16" s="3" customFormat="1" ht="18">
      <c r="A9" s="11"/>
      <c r="B9" s="284" t="s">
        <v>9</v>
      </c>
      <c r="C9" s="392">
        <f>1959</f>
        <v>1959</v>
      </c>
      <c r="D9" s="392">
        <v>2030</v>
      </c>
      <c r="E9" s="392">
        <v>1893</v>
      </c>
      <c r="F9" s="392">
        <v>1998</v>
      </c>
      <c r="G9" s="392">
        <v>1877</v>
      </c>
      <c r="H9" s="392">
        <v>1932</v>
      </c>
      <c r="I9" s="283"/>
      <c r="J9" s="305">
        <v>3988</v>
      </c>
      <c r="K9" s="305">
        <v>3891</v>
      </c>
      <c r="L9" s="392">
        <v>3808</v>
      </c>
      <c r="M9" s="186"/>
      <c r="N9" s="186"/>
      <c r="O9" s="10"/>
      <c r="P9" s="10"/>
    </row>
    <row r="10" spans="1:16" ht="18">
      <c r="A10" s="11"/>
      <c r="B10" s="256" t="s">
        <v>10</v>
      </c>
      <c r="C10" s="393">
        <f>-1251-3</f>
        <v>-1254</v>
      </c>
      <c r="D10" s="393">
        <v>-1328</v>
      </c>
      <c r="E10" s="393">
        <f>-1210-5</f>
        <v>-1215</v>
      </c>
      <c r="F10" s="393">
        <v>-1313</v>
      </c>
      <c r="G10" s="393">
        <v>-1183</v>
      </c>
      <c r="H10" s="393">
        <v>-1246</v>
      </c>
      <c r="I10" s="253"/>
      <c r="J10" s="319">
        <v>-2582</v>
      </c>
      <c r="K10" s="319">
        <v>-2527</v>
      </c>
      <c r="L10" s="393">
        <v>-2429</v>
      </c>
      <c r="M10" s="186"/>
      <c r="N10" s="186"/>
    </row>
    <row r="11" spans="1:16" ht="18">
      <c r="A11" s="11"/>
      <c r="B11" s="251" t="s">
        <v>11</v>
      </c>
      <c r="C11" s="394">
        <f>707-3</f>
        <v>704</v>
      </c>
      <c r="D11" s="394">
        <v>702</v>
      </c>
      <c r="E11" s="394">
        <f>683-4</f>
        <v>679</v>
      </c>
      <c r="F11" s="394">
        <v>685</v>
      </c>
      <c r="G11" s="394">
        <v>694</v>
      </c>
      <c r="H11" s="394">
        <v>686</v>
      </c>
      <c r="I11" s="253"/>
      <c r="J11" s="348">
        <v>1407</v>
      </c>
      <c r="K11" s="348">
        <v>1364</v>
      </c>
      <c r="L11" s="394">
        <v>1379</v>
      </c>
      <c r="M11" s="186"/>
      <c r="N11" s="186"/>
    </row>
    <row r="12" spans="1:16" ht="21">
      <c r="A12" s="11"/>
      <c r="B12" s="405" t="s">
        <v>75</v>
      </c>
      <c r="C12" s="393">
        <f>42</f>
        <v>42</v>
      </c>
      <c r="D12" s="393">
        <v>41</v>
      </c>
      <c r="E12" s="393">
        <v>58</v>
      </c>
      <c r="F12" s="393">
        <v>29</v>
      </c>
      <c r="G12" s="393">
        <v>63</v>
      </c>
      <c r="H12" s="393">
        <v>36</v>
      </c>
      <c r="I12" s="253"/>
      <c r="J12" s="319">
        <v>83</v>
      </c>
      <c r="K12" s="319">
        <v>87</v>
      </c>
      <c r="L12" s="393">
        <v>98</v>
      </c>
      <c r="M12" s="186"/>
      <c r="N12" s="186"/>
    </row>
    <row r="13" spans="1:16" s="3" customFormat="1" ht="18">
      <c r="A13" s="11"/>
      <c r="B13" s="284" t="s">
        <v>13</v>
      </c>
      <c r="C13" s="392">
        <f>750-3</f>
        <v>747</v>
      </c>
      <c r="D13" s="392">
        <v>743</v>
      </c>
      <c r="E13" s="392">
        <f>741-4</f>
        <v>737</v>
      </c>
      <c r="F13" s="392">
        <v>714</v>
      </c>
      <c r="G13" s="392">
        <v>756</v>
      </c>
      <c r="H13" s="392">
        <v>722</v>
      </c>
      <c r="I13" s="283"/>
      <c r="J13" s="305">
        <v>1490</v>
      </c>
      <c r="K13" s="305">
        <v>1451</v>
      </c>
      <c r="L13" s="392">
        <v>1478</v>
      </c>
      <c r="M13" s="186"/>
      <c r="N13" s="186"/>
      <c r="O13" s="10"/>
      <c r="P13" s="10"/>
    </row>
    <row r="14" spans="1:16" s="89" customFormat="1" ht="18.75">
      <c r="A14" s="90"/>
      <c r="B14" s="284" t="s">
        <v>54</v>
      </c>
      <c r="C14" s="384">
        <v>0.38300000000000001</v>
      </c>
      <c r="D14" s="384">
        <v>0.36599999999999999</v>
      </c>
      <c r="E14" s="117">
        <f>39.1%-0.2%</f>
        <v>0.38900000000000001</v>
      </c>
      <c r="F14" s="384">
        <v>0.35799999999999998</v>
      </c>
      <c r="G14" s="384">
        <v>0.40300000000000002</v>
      </c>
      <c r="H14" s="384">
        <v>0.374</v>
      </c>
      <c r="I14" s="419"/>
      <c r="J14" s="385">
        <v>0.374</v>
      </c>
      <c r="K14" s="385">
        <v>0.373</v>
      </c>
      <c r="L14" s="384">
        <v>0.38800000000000001</v>
      </c>
      <c r="M14" s="186"/>
      <c r="N14" s="186"/>
      <c r="O14" s="187"/>
      <c r="P14" s="187"/>
    </row>
    <row r="15" spans="1:16" ht="18">
      <c r="A15" s="16"/>
      <c r="B15" s="251" t="s">
        <v>19</v>
      </c>
      <c r="C15" s="395">
        <f>-290-1</f>
        <v>-291</v>
      </c>
      <c r="D15" s="395">
        <v>-315</v>
      </c>
      <c r="E15" s="395">
        <v>-299</v>
      </c>
      <c r="F15" s="395">
        <v>-314</v>
      </c>
      <c r="G15" s="395">
        <v>-318</v>
      </c>
      <c r="H15" s="395">
        <v>-328</v>
      </c>
      <c r="I15" s="253"/>
      <c r="J15" s="252">
        <v>-606</v>
      </c>
      <c r="K15" s="252">
        <v>-613</v>
      </c>
      <c r="L15" s="395">
        <v>-645</v>
      </c>
      <c r="M15" s="186"/>
      <c r="N15" s="186"/>
    </row>
    <row r="16" spans="1:16" s="3" customFormat="1" ht="18">
      <c r="A16" s="54"/>
      <c r="B16" s="286" t="s">
        <v>55</v>
      </c>
      <c r="C16" s="396">
        <f>460-4</f>
        <v>456</v>
      </c>
      <c r="D16" s="396">
        <v>428</v>
      </c>
      <c r="E16" s="396">
        <f>442-4</f>
        <v>438</v>
      </c>
      <c r="F16" s="396">
        <v>400</v>
      </c>
      <c r="G16" s="396">
        <v>439</v>
      </c>
      <c r="H16" s="396">
        <v>394</v>
      </c>
      <c r="I16" s="276"/>
      <c r="J16" s="309">
        <v>884</v>
      </c>
      <c r="K16" s="309">
        <v>838</v>
      </c>
      <c r="L16" s="396">
        <v>833</v>
      </c>
      <c r="M16" s="186"/>
      <c r="N16" s="186"/>
      <c r="O16" s="10"/>
      <c r="P16" s="10"/>
    </row>
    <row r="17" spans="1:16" s="3" customFormat="1" ht="18">
      <c r="A17" s="175"/>
      <c r="B17" s="284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186"/>
      <c r="N17" s="186"/>
      <c r="O17" s="10"/>
      <c r="P17" s="10"/>
    </row>
    <row r="18" spans="1:16" s="3" customFormat="1" ht="18">
      <c r="B18" s="287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186"/>
      <c r="N18" s="186"/>
      <c r="O18" s="10"/>
      <c r="P18" s="10"/>
    </row>
    <row r="19" spans="1:16" s="3" customFormat="1" ht="18">
      <c r="A19" s="170" t="s">
        <v>76</v>
      </c>
      <c r="B19" s="293"/>
      <c r="C19" s="288"/>
      <c r="D19" s="288"/>
      <c r="E19" s="294"/>
      <c r="F19" s="288"/>
      <c r="G19" s="294"/>
      <c r="H19" s="288"/>
      <c r="I19" s="283"/>
      <c r="J19" s="294"/>
      <c r="K19" s="294"/>
      <c r="L19" s="294"/>
      <c r="M19" s="186"/>
      <c r="N19" s="186"/>
      <c r="O19" s="10"/>
      <c r="P19" s="10"/>
    </row>
    <row r="20" spans="1:16" s="3" customFormat="1" ht="18">
      <c r="A20" s="18"/>
      <c r="B20" s="289" t="s">
        <v>58</v>
      </c>
      <c r="C20" s="350">
        <f>889+2</f>
        <v>891</v>
      </c>
      <c r="D20" s="278">
        <v>979</v>
      </c>
      <c r="E20" s="278">
        <f>889+3</f>
        <v>892</v>
      </c>
      <c r="F20" s="278">
        <v>972</v>
      </c>
      <c r="G20" s="278">
        <v>915</v>
      </c>
      <c r="H20" s="278">
        <v>905</v>
      </c>
      <c r="I20" s="269"/>
      <c r="J20" s="278">
        <v>1870</v>
      </c>
      <c r="K20" s="278">
        <v>1864</v>
      </c>
      <c r="L20" s="278">
        <v>1820</v>
      </c>
      <c r="M20" s="186"/>
      <c r="N20" s="186"/>
      <c r="O20" s="10"/>
      <c r="P20" s="10"/>
    </row>
    <row r="21" spans="1:16" s="97" customFormat="1" ht="18.75">
      <c r="A21" s="98"/>
      <c r="B21" s="290" t="s">
        <v>59</v>
      </c>
      <c r="C21" s="351">
        <f>624+1</f>
        <v>625</v>
      </c>
      <c r="D21" s="310">
        <v>639</v>
      </c>
      <c r="E21" s="310">
        <f>638+2</f>
        <v>640</v>
      </c>
      <c r="F21" s="310">
        <v>659</v>
      </c>
      <c r="G21" s="310">
        <v>666</v>
      </c>
      <c r="H21" s="310">
        <v>627</v>
      </c>
      <c r="I21" s="420"/>
      <c r="J21" s="310">
        <v>1264</v>
      </c>
      <c r="K21" s="310">
        <v>1299</v>
      </c>
      <c r="L21" s="310">
        <v>1293</v>
      </c>
      <c r="M21" s="186"/>
      <c r="N21" s="186"/>
      <c r="O21" s="10"/>
      <c r="P21" s="10"/>
    </row>
    <row r="22" spans="1:16" s="97" customFormat="1" ht="18.75">
      <c r="A22" s="98"/>
      <c r="B22" s="290" t="s">
        <v>77</v>
      </c>
      <c r="C22" s="397">
        <v>266</v>
      </c>
      <c r="D22" s="398">
        <v>340</v>
      </c>
      <c r="E22" s="398">
        <f>251+1</f>
        <v>252</v>
      </c>
      <c r="F22" s="398">
        <v>313</v>
      </c>
      <c r="G22" s="398">
        <v>249</v>
      </c>
      <c r="H22" s="398">
        <v>278</v>
      </c>
      <c r="I22" s="420"/>
      <c r="J22" s="310">
        <v>606</v>
      </c>
      <c r="K22" s="310">
        <v>564</v>
      </c>
      <c r="L22" s="398">
        <v>527</v>
      </c>
      <c r="M22" s="186"/>
      <c r="N22" s="186"/>
      <c r="O22" s="10"/>
      <c r="P22" s="10"/>
    </row>
    <row r="23" spans="1:16" s="97" customFormat="1" ht="21.75">
      <c r="A23" s="98"/>
      <c r="B23" s="359" t="s">
        <v>78</v>
      </c>
      <c r="C23" s="399">
        <f>663-4</f>
        <v>659</v>
      </c>
      <c r="D23" s="400">
        <v>668</v>
      </c>
      <c r="E23" s="400">
        <f>655-4</f>
        <v>651</v>
      </c>
      <c r="F23" s="400">
        <v>653</v>
      </c>
      <c r="G23" s="400">
        <v>641</v>
      </c>
      <c r="H23" s="400">
        <v>662</v>
      </c>
      <c r="I23" s="269"/>
      <c r="J23" s="278">
        <v>1327</v>
      </c>
      <c r="K23" s="278">
        <v>1304</v>
      </c>
      <c r="L23" s="400">
        <v>1303</v>
      </c>
      <c r="M23" s="186"/>
      <c r="N23" s="186"/>
      <c r="O23" s="10"/>
      <c r="P23" s="10"/>
    </row>
    <row r="24" spans="1:16" s="97" customFormat="1" ht="21.75">
      <c r="A24" s="98"/>
      <c r="B24" s="289" t="s">
        <v>79</v>
      </c>
      <c r="C24" s="397">
        <v>183</v>
      </c>
      <c r="D24" s="401">
        <v>160</v>
      </c>
      <c r="E24" s="401">
        <v>132</v>
      </c>
      <c r="F24" s="401">
        <v>151</v>
      </c>
      <c r="G24" s="401">
        <v>121</v>
      </c>
      <c r="H24" s="401">
        <v>167</v>
      </c>
      <c r="I24" s="421"/>
      <c r="J24" s="314">
        <v>343</v>
      </c>
      <c r="K24" s="314">
        <v>283</v>
      </c>
      <c r="L24" s="401">
        <v>287</v>
      </c>
      <c r="M24" s="186"/>
      <c r="N24" s="186"/>
      <c r="O24" s="188"/>
      <c r="P24" s="188"/>
    </row>
    <row r="25" spans="1:16" s="3" customFormat="1" ht="18">
      <c r="A25" s="18"/>
      <c r="B25" s="422" t="s">
        <v>35</v>
      </c>
      <c r="C25" s="399">
        <v>111</v>
      </c>
      <c r="D25" s="400">
        <v>106</v>
      </c>
      <c r="E25" s="400">
        <f>104-1</f>
        <v>103</v>
      </c>
      <c r="F25" s="400">
        <v>98</v>
      </c>
      <c r="G25" s="400">
        <v>93</v>
      </c>
      <c r="H25" s="400">
        <v>90</v>
      </c>
      <c r="I25" s="269"/>
      <c r="J25" s="278">
        <v>217</v>
      </c>
      <c r="K25" s="278">
        <v>201</v>
      </c>
      <c r="L25" s="400">
        <v>183</v>
      </c>
      <c r="M25" s="186"/>
      <c r="N25" s="186"/>
      <c r="O25" s="5"/>
      <c r="P25" s="5"/>
    </row>
    <row r="26" spans="1:16" s="3" customFormat="1" ht="21">
      <c r="A26" s="18"/>
      <c r="B26" s="422" t="s">
        <v>80</v>
      </c>
      <c r="C26" s="399">
        <f>79</f>
        <v>79</v>
      </c>
      <c r="D26" s="400">
        <v>74</v>
      </c>
      <c r="E26" s="400">
        <f>68+2</f>
        <v>70</v>
      </c>
      <c r="F26" s="400">
        <v>70</v>
      </c>
      <c r="G26" s="400">
        <v>68</v>
      </c>
      <c r="H26" s="400">
        <v>65</v>
      </c>
      <c r="I26" s="269"/>
      <c r="J26" s="278">
        <v>153</v>
      </c>
      <c r="K26" s="278">
        <v>140</v>
      </c>
      <c r="L26" s="400">
        <v>133</v>
      </c>
      <c r="M26" s="186"/>
      <c r="N26" s="186"/>
      <c r="O26" s="10"/>
      <c r="P26" s="10"/>
    </row>
    <row r="27" spans="1:16" s="74" customFormat="1" ht="21.75" thickBot="1">
      <c r="A27" s="73"/>
      <c r="B27" s="289" t="s">
        <v>81</v>
      </c>
      <c r="C27" s="399">
        <f>34</f>
        <v>34</v>
      </c>
      <c r="D27" s="400">
        <v>43</v>
      </c>
      <c r="E27" s="400">
        <v>45</v>
      </c>
      <c r="F27" s="400">
        <v>54</v>
      </c>
      <c r="G27" s="400">
        <v>39</v>
      </c>
      <c r="H27" s="400">
        <v>43</v>
      </c>
      <c r="I27" s="423"/>
      <c r="J27" s="400">
        <v>78</v>
      </c>
      <c r="K27" s="400">
        <v>99</v>
      </c>
      <c r="L27" s="400">
        <v>82</v>
      </c>
      <c r="M27" s="186"/>
      <c r="N27" s="186"/>
      <c r="O27" s="141"/>
      <c r="P27" s="141"/>
    </row>
    <row r="28" spans="1:16" ht="18">
      <c r="A28" s="21"/>
      <c r="B28" s="299"/>
      <c r="C28" s="424">
        <f>1959</f>
        <v>1959</v>
      </c>
      <c r="D28" s="425">
        <v>2030</v>
      </c>
      <c r="E28" s="425">
        <v>1893</v>
      </c>
      <c r="F28" s="425">
        <v>1998</v>
      </c>
      <c r="G28" s="425">
        <v>1877</v>
      </c>
      <c r="H28" s="425">
        <v>1932</v>
      </c>
      <c r="I28" s="426"/>
      <c r="J28" s="427">
        <v>3988</v>
      </c>
      <c r="K28" s="427">
        <v>3891</v>
      </c>
      <c r="L28" s="425">
        <v>3808</v>
      </c>
      <c r="M28" s="186"/>
      <c r="N28" s="186"/>
    </row>
    <row r="29" spans="1:16" ht="18">
      <c r="A29" s="21"/>
      <c r="B29" s="299"/>
      <c r="C29" s="428"/>
      <c r="D29" s="308"/>
      <c r="E29" s="308"/>
      <c r="F29" s="308"/>
      <c r="G29" s="308"/>
      <c r="H29" s="308"/>
      <c r="I29" s="276"/>
      <c r="J29" s="279"/>
      <c r="K29" s="279"/>
      <c r="L29" s="308"/>
      <c r="M29" s="186"/>
      <c r="N29" s="186"/>
    </row>
    <row r="30" spans="1:16" ht="18">
      <c r="A30" s="18" t="s">
        <v>82</v>
      </c>
      <c r="B30" s="300"/>
      <c r="C30" s="429"/>
      <c r="D30" s="430"/>
      <c r="E30" s="430"/>
      <c r="F30" s="430"/>
      <c r="G30" s="430"/>
      <c r="H30" s="430"/>
      <c r="I30" s="249"/>
      <c r="J30" s="248"/>
      <c r="K30" s="248"/>
      <c r="L30" s="430"/>
      <c r="M30" s="186"/>
      <c r="N30" s="186"/>
    </row>
    <row r="31" spans="1:16" ht="18">
      <c r="A31" s="21"/>
      <c r="B31" s="299" t="s">
        <v>72</v>
      </c>
      <c r="C31" s="431">
        <f>469</f>
        <v>469</v>
      </c>
      <c r="D31" s="395">
        <v>516</v>
      </c>
      <c r="E31" s="395">
        <v>398</v>
      </c>
      <c r="F31" s="395">
        <v>483</v>
      </c>
      <c r="G31" s="395">
        <v>382</v>
      </c>
      <c r="H31" s="395">
        <v>462</v>
      </c>
      <c r="I31" s="253"/>
      <c r="J31" s="252">
        <v>984</v>
      </c>
      <c r="K31" s="252">
        <v>881</v>
      </c>
      <c r="L31" s="395">
        <v>844</v>
      </c>
      <c r="M31" s="186"/>
      <c r="N31" s="186"/>
    </row>
    <row r="32" spans="1:16" ht="18">
      <c r="A32" s="21"/>
      <c r="B32" s="299" t="s">
        <v>41</v>
      </c>
      <c r="C32" s="431">
        <f>246+2</f>
        <v>248</v>
      </c>
      <c r="D32" s="395">
        <v>236</v>
      </c>
      <c r="E32" s="395">
        <f>257+1</f>
        <v>258</v>
      </c>
      <c r="F32" s="395">
        <v>252</v>
      </c>
      <c r="G32" s="395">
        <v>243</v>
      </c>
      <c r="H32" s="395">
        <v>229</v>
      </c>
      <c r="I32" s="253"/>
      <c r="J32" s="252">
        <v>483</v>
      </c>
      <c r="K32" s="252">
        <v>511</v>
      </c>
      <c r="L32" s="395">
        <v>472</v>
      </c>
      <c r="M32" s="186"/>
      <c r="N32" s="186"/>
    </row>
    <row r="33" spans="1:16" ht="21">
      <c r="A33" s="21"/>
      <c r="B33" s="299" t="s">
        <v>83</v>
      </c>
      <c r="C33" s="431">
        <v>246</v>
      </c>
      <c r="D33" s="395">
        <v>273</v>
      </c>
      <c r="E33" s="395">
        <v>246</v>
      </c>
      <c r="F33" s="395">
        <v>279</v>
      </c>
      <c r="G33" s="395">
        <v>246</v>
      </c>
      <c r="H33" s="395">
        <v>256</v>
      </c>
      <c r="I33" s="253"/>
      <c r="J33" s="252">
        <v>519</v>
      </c>
      <c r="K33" s="252">
        <v>525</v>
      </c>
      <c r="L33" s="395">
        <v>502</v>
      </c>
      <c r="M33" s="186"/>
      <c r="N33" s="186"/>
    </row>
    <row r="34" spans="1:16" ht="18">
      <c r="A34" s="21"/>
      <c r="B34" s="299" t="s">
        <v>71</v>
      </c>
      <c r="C34" s="431">
        <v>205</v>
      </c>
      <c r="D34" s="395">
        <v>207</v>
      </c>
      <c r="E34" s="395">
        <v>214</v>
      </c>
      <c r="F34" s="395">
        <v>211</v>
      </c>
      <c r="G34" s="395">
        <v>210</v>
      </c>
      <c r="H34" s="395">
        <v>206</v>
      </c>
      <c r="I34" s="253"/>
      <c r="J34" s="252">
        <v>412</v>
      </c>
      <c r="K34" s="252">
        <v>425</v>
      </c>
      <c r="L34" s="395">
        <v>416</v>
      </c>
      <c r="M34" s="186"/>
      <c r="N34" s="186"/>
    </row>
    <row r="35" spans="1:16" ht="21">
      <c r="A35" s="21"/>
      <c r="B35" s="359" t="s">
        <v>84</v>
      </c>
      <c r="C35" s="431">
        <f>80+2</f>
        <v>82</v>
      </c>
      <c r="D35" s="395">
        <v>90</v>
      </c>
      <c r="E35" s="395">
        <f>84+2</f>
        <v>86</v>
      </c>
      <c r="F35" s="395">
        <v>86</v>
      </c>
      <c r="G35" s="395">
        <v>90</v>
      </c>
      <c r="H35" s="395">
        <v>93</v>
      </c>
      <c r="I35" s="253"/>
      <c r="J35" s="252">
        <v>172</v>
      </c>
      <c r="K35" s="252">
        <v>172</v>
      </c>
      <c r="L35" s="395">
        <v>183</v>
      </c>
      <c r="M35" s="186"/>
      <c r="N35" s="186"/>
    </row>
    <row r="36" spans="1:16" ht="18.75" thickBot="1">
      <c r="A36" s="21"/>
      <c r="B36" s="299" t="s">
        <v>37</v>
      </c>
      <c r="C36" s="432">
        <v>5</v>
      </c>
      <c r="D36" s="433">
        <v>6</v>
      </c>
      <c r="E36" s="433">
        <v>13</v>
      </c>
      <c r="F36" s="433">
        <v>1</v>
      </c>
      <c r="G36" s="433">
        <v>13</v>
      </c>
      <c r="H36" s="433">
        <v>-1</v>
      </c>
      <c r="I36" s="253"/>
      <c r="J36" s="434">
        <v>11</v>
      </c>
      <c r="K36" s="434">
        <v>14</v>
      </c>
      <c r="L36" s="433">
        <v>12</v>
      </c>
      <c r="M36" s="186"/>
      <c r="N36" s="186"/>
    </row>
    <row r="37" spans="1:16" ht="18">
      <c r="A37" s="38"/>
      <c r="B37" s="383"/>
      <c r="C37" s="435">
        <f>1251+3</f>
        <v>1254</v>
      </c>
      <c r="D37" s="436">
        <v>1328</v>
      </c>
      <c r="E37" s="436">
        <f>1210+5</f>
        <v>1215</v>
      </c>
      <c r="F37" s="436">
        <v>1313</v>
      </c>
      <c r="G37" s="436">
        <v>1183</v>
      </c>
      <c r="H37" s="436">
        <v>1246</v>
      </c>
      <c r="I37" s="283"/>
      <c r="J37" s="437">
        <v>2582</v>
      </c>
      <c r="K37" s="437">
        <v>2527</v>
      </c>
      <c r="L37" s="436">
        <v>2429</v>
      </c>
      <c r="M37" s="186"/>
      <c r="N37" s="186"/>
    </row>
    <row r="38" spans="1:16" ht="18">
      <c r="A38" s="40"/>
      <c r="B38" s="251"/>
      <c r="C38" s="283"/>
      <c r="D38" s="283"/>
      <c r="E38" s="283"/>
      <c r="F38" s="312"/>
      <c r="G38" s="312"/>
      <c r="H38" s="312"/>
      <c r="I38" s="312"/>
      <c r="J38" s="283"/>
      <c r="K38" s="283"/>
      <c r="L38" s="261"/>
    </row>
    <row r="39" spans="1:16" ht="18">
      <c r="A39" s="40"/>
      <c r="B39" s="251"/>
      <c r="C39" s="283"/>
      <c r="D39" s="283"/>
      <c r="E39" s="283"/>
      <c r="F39" s="312"/>
      <c r="G39" s="312"/>
      <c r="H39" s="312"/>
      <c r="I39" s="312"/>
      <c r="J39" s="283"/>
      <c r="K39" s="283"/>
      <c r="L39" s="261"/>
    </row>
    <row r="40" spans="1:16" ht="18">
      <c r="A40" s="40"/>
      <c r="B40" s="417" t="s">
        <v>85</v>
      </c>
      <c r="C40" s="283"/>
      <c r="D40" s="283"/>
      <c r="E40" s="283"/>
      <c r="F40" s="312"/>
      <c r="G40" s="312"/>
      <c r="H40" s="312"/>
      <c r="I40" s="312"/>
      <c r="J40" s="283"/>
      <c r="K40" s="283"/>
      <c r="L40" s="261"/>
    </row>
    <row r="41" spans="1:16" ht="18">
      <c r="A41" s="40"/>
      <c r="B41" s="417" t="s">
        <v>86</v>
      </c>
      <c r="C41" s="283"/>
      <c r="D41" s="283"/>
      <c r="E41" s="283"/>
      <c r="F41" s="312"/>
      <c r="G41" s="312"/>
      <c r="H41" s="312"/>
      <c r="I41" s="312"/>
      <c r="J41" s="261"/>
      <c r="K41" s="261"/>
      <c r="L41" s="261"/>
    </row>
    <row r="42" spans="1:16" ht="18">
      <c r="A42" s="40"/>
      <c r="B42" s="417" t="s">
        <v>87</v>
      </c>
      <c r="C42" s="283"/>
      <c r="D42" s="283"/>
      <c r="E42" s="283"/>
      <c r="F42" s="312"/>
      <c r="G42" s="312"/>
      <c r="H42" s="312"/>
      <c r="I42" s="312"/>
      <c r="J42" s="261"/>
      <c r="K42" s="261"/>
      <c r="L42" s="262"/>
    </row>
    <row r="43" spans="1:16" ht="18">
      <c r="A43" s="40"/>
      <c r="B43" s="417" t="s">
        <v>88</v>
      </c>
      <c r="C43" s="283"/>
      <c r="D43" s="283"/>
      <c r="E43" s="283"/>
      <c r="F43" s="312"/>
      <c r="G43" s="312"/>
      <c r="H43" s="312"/>
      <c r="I43" s="312"/>
      <c r="J43" s="261"/>
      <c r="K43" s="261"/>
      <c r="L43" s="262"/>
    </row>
    <row r="44" spans="1:16" ht="18">
      <c r="A44" s="121"/>
      <c r="B44" s="417" t="s">
        <v>89</v>
      </c>
      <c r="C44" s="283"/>
      <c r="D44" s="283"/>
      <c r="E44" s="283"/>
      <c r="F44" s="312"/>
      <c r="G44" s="312"/>
      <c r="H44" s="312"/>
      <c r="I44" s="312"/>
      <c r="J44" s="261"/>
      <c r="K44" s="261"/>
      <c r="L44" s="261"/>
    </row>
    <row r="45" spans="1:16" ht="18">
      <c r="A45" s="40"/>
      <c r="B45" s="417" t="s">
        <v>90</v>
      </c>
      <c r="C45" s="283"/>
      <c r="D45" s="283"/>
      <c r="E45" s="283"/>
      <c r="F45" s="312"/>
      <c r="G45" s="312"/>
      <c r="H45" s="312"/>
      <c r="I45" s="312"/>
      <c r="J45" s="261"/>
      <c r="K45" s="261"/>
      <c r="L45" s="261"/>
    </row>
    <row r="46" spans="1:16" s="69" customFormat="1" ht="18">
      <c r="A46" s="79"/>
      <c r="B46" s="417" t="s">
        <v>91</v>
      </c>
      <c r="C46" s="283"/>
      <c r="D46" s="283"/>
      <c r="E46" s="283"/>
      <c r="F46" s="312"/>
      <c r="G46" s="312"/>
      <c r="H46" s="312"/>
      <c r="I46" s="312"/>
      <c r="J46" s="262"/>
      <c r="K46" s="262"/>
      <c r="L46" s="262"/>
    </row>
    <row r="47" spans="1:16" s="70" customFormat="1" ht="18">
      <c r="A47" s="72"/>
      <c r="B47" s="417" t="s">
        <v>92</v>
      </c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69"/>
      <c r="N47" s="69"/>
      <c r="O47" s="69"/>
      <c r="P47" s="69"/>
    </row>
    <row r="48" spans="1:16" s="70" customFormat="1" ht="18">
      <c r="A48" s="72"/>
      <c r="B48" s="417" t="s">
        <v>93</v>
      </c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69"/>
      <c r="N48" s="69"/>
      <c r="O48" s="69"/>
      <c r="P48" s="69"/>
    </row>
    <row r="49" spans="1:16" s="70" customFormat="1" ht="18">
      <c r="A49" s="72"/>
      <c r="B49" s="2" t="s">
        <v>94</v>
      </c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69"/>
      <c r="N49" s="69"/>
      <c r="O49" s="69"/>
      <c r="P49" s="69"/>
    </row>
    <row r="50" spans="1:16" ht="18">
      <c r="B50" s="2" t="s">
        <v>95</v>
      </c>
      <c r="C50" s="12"/>
      <c r="D50" s="12"/>
      <c r="E50" s="12"/>
      <c r="L50" s="2"/>
      <c r="M50" s="2"/>
      <c r="N50" s="2"/>
      <c r="O50" s="2"/>
      <c r="P50" s="2"/>
    </row>
    <row r="51" spans="1:16" ht="18">
      <c r="C51" s="91"/>
      <c r="D51" s="91"/>
      <c r="E51" s="91"/>
      <c r="L51" s="2"/>
      <c r="M51" s="2"/>
      <c r="N51" s="2"/>
      <c r="O51" s="2"/>
      <c r="P51" s="2"/>
    </row>
    <row r="52" spans="1:16" ht="18">
      <c r="C52" s="12"/>
      <c r="D52" s="12"/>
      <c r="E52" s="12"/>
      <c r="L52" s="2"/>
      <c r="M52" s="2"/>
      <c r="N52" s="2"/>
      <c r="O52" s="2"/>
      <c r="P52" s="2"/>
    </row>
    <row r="53" spans="1:16" ht="18">
      <c r="C53" s="91"/>
      <c r="D53" s="91"/>
      <c r="E53" s="91"/>
      <c r="L53" s="2"/>
      <c r="M53" s="2"/>
      <c r="N53" s="2"/>
      <c r="O53" s="2"/>
      <c r="P53" s="2"/>
    </row>
    <row r="54" spans="1:16" ht="18">
      <c r="C54" s="12"/>
      <c r="D54" s="12"/>
      <c r="E54" s="12"/>
      <c r="L54" s="2"/>
      <c r="M54" s="2"/>
      <c r="N54" s="2"/>
      <c r="O54" s="2"/>
      <c r="P54" s="2"/>
    </row>
  </sheetData>
  <mergeCells count="3">
    <mergeCell ref="C5:D5"/>
    <mergeCell ref="E5:F5"/>
    <mergeCell ref="G5:H5"/>
  </mergeCells>
  <pageMargins left="0.70866141732283505" right="0.70866141732283505" top="0.74803149606299202" bottom="0.74803149606299202" header="0.31496062992126" footer="0.31496062992126"/>
  <pageSetup paperSize="9" scale="54" orientation="landscape" r:id="rId1"/>
  <colBreaks count="1" manualBreakCount="1">
    <brk id="5" max="1048575" man="1"/>
  </col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M54"/>
  <sheetViews>
    <sheetView view="pageBreakPreview" zoomScale="60" zoomScaleNormal="70" workbookViewId="0">
      <pane xSplit="2" ySplit="7" topLeftCell="C8" activePane="bottomRight" state="frozen"/>
      <selection pane="topRight" activeCell="C53" sqref="C53"/>
      <selection pane="bottomLeft" activeCell="C53" sqref="C53"/>
      <selection pane="bottomRight" activeCell="M52" sqref="M52"/>
    </sheetView>
  </sheetViews>
  <sheetFormatPr defaultColWidth="9.28515625" defaultRowHeight="16.5"/>
  <cols>
    <col min="1" max="1" width="1.7109375" style="2" customWidth="1"/>
    <col min="2" max="2" width="77.7109375" style="2" customWidth="1"/>
    <col min="3" max="5" width="20" style="2" customWidth="1"/>
    <col min="6" max="6" width="13" style="2" bestFit="1" customWidth="1"/>
    <col min="7" max="8" width="15.85546875" style="2" customWidth="1"/>
    <col min="9" max="13" width="9.28515625" style="5"/>
    <col min="14" max="16384" width="9.28515625" style="2"/>
  </cols>
  <sheetData>
    <row r="1" spans="1:13" ht="21" customHeight="1">
      <c r="A1" s="1" t="s">
        <v>0</v>
      </c>
    </row>
    <row r="2" spans="1:13" ht="8.25" customHeight="1">
      <c r="C2" s="5"/>
      <c r="D2" s="5"/>
      <c r="E2" s="5"/>
    </row>
    <row r="3" spans="1:13" s="70" customFormat="1" ht="18">
      <c r="A3" s="68" t="s">
        <v>96</v>
      </c>
      <c r="B3" s="69"/>
      <c r="C3" s="5"/>
      <c r="D3" s="5"/>
      <c r="E3" s="5"/>
      <c r="F3" s="69"/>
      <c r="I3" s="69"/>
      <c r="J3" s="69"/>
      <c r="K3" s="69"/>
      <c r="L3" s="69"/>
      <c r="M3" s="69"/>
    </row>
    <row r="4" spans="1:13" s="5" customFormat="1" ht="11.25" customHeight="1">
      <c r="A4" s="7"/>
      <c r="B4" s="6"/>
      <c r="C4" s="2"/>
      <c r="D4" s="2"/>
      <c r="E4" s="2"/>
    </row>
    <row r="5" spans="1:13" ht="18" customHeight="1">
      <c r="A5" s="128"/>
      <c r="B5" s="126"/>
      <c r="C5" s="581" t="s">
        <v>7</v>
      </c>
      <c r="D5" s="582"/>
      <c r="E5" s="162" t="s">
        <v>2</v>
      </c>
      <c r="G5" s="185"/>
      <c r="H5" s="190" t="s">
        <v>97</v>
      </c>
    </row>
    <row r="6" spans="1:13" ht="17.45" hidden="1" customHeight="1">
      <c r="A6" s="129" t="s">
        <v>4</v>
      </c>
      <c r="B6" s="127"/>
      <c r="C6" s="119"/>
      <c r="D6" s="119"/>
      <c r="E6" s="119"/>
      <c r="G6" s="164"/>
      <c r="H6" s="143"/>
    </row>
    <row r="7" spans="1:13" ht="18">
      <c r="A7" s="166" t="s">
        <v>4</v>
      </c>
      <c r="B7" s="180"/>
      <c r="C7" s="162" t="s">
        <v>5</v>
      </c>
      <c r="D7" s="162" t="s">
        <v>6</v>
      </c>
      <c r="E7" s="162" t="s">
        <v>5</v>
      </c>
      <c r="G7" s="163" t="s">
        <v>7</v>
      </c>
      <c r="H7" s="163" t="s">
        <v>2</v>
      </c>
    </row>
    <row r="8" spans="1:13" ht="18">
      <c r="A8" s="11" t="s">
        <v>8</v>
      </c>
      <c r="B8" s="12"/>
      <c r="C8" s="13"/>
      <c r="D8" s="13"/>
      <c r="E8" s="13"/>
      <c r="G8" s="144"/>
      <c r="H8" s="144"/>
    </row>
    <row r="9" spans="1:13" s="3" customFormat="1" ht="18">
      <c r="A9" s="11"/>
      <c r="B9" s="8" t="s">
        <v>9</v>
      </c>
      <c r="C9" s="56">
        <v>874</v>
      </c>
      <c r="D9" s="56">
        <v>941</v>
      </c>
      <c r="E9" s="56"/>
      <c r="F9" s="155"/>
      <c r="G9" s="56">
        <v>1814</v>
      </c>
      <c r="H9" s="56"/>
      <c r="I9" s="155"/>
      <c r="J9" s="186"/>
      <c r="K9" s="186"/>
      <c r="L9" s="10"/>
      <c r="M9" s="10"/>
    </row>
    <row r="10" spans="1:13" ht="18">
      <c r="A10" s="11"/>
      <c r="B10" s="14" t="s">
        <v>10</v>
      </c>
      <c r="C10" s="39">
        <f>-553-26</f>
        <v>-579</v>
      </c>
      <c r="D10" s="39">
        <v>-648</v>
      </c>
      <c r="E10" s="39"/>
      <c r="F10" s="156"/>
      <c r="G10" s="39">
        <v>-1227</v>
      </c>
      <c r="H10" s="39"/>
      <c r="I10" s="155"/>
      <c r="J10" s="186"/>
      <c r="K10" s="186"/>
    </row>
    <row r="11" spans="1:13" ht="18">
      <c r="A11" s="11"/>
      <c r="B11" s="12" t="s">
        <v>11</v>
      </c>
      <c r="C11" s="58">
        <f>321-26</f>
        <v>295</v>
      </c>
      <c r="D11" s="58">
        <v>293</v>
      </c>
      <c r="E11" s="58"/>
      <c r="F11" s="156"/>
      <c r="G11" s="58">
        <v>588</v>
      </c>
      <c r="H11" s="58"/>
      <c r="I11" s="155"/>
      <c r="J11" s="186"/>
      <c r="K11" s="186"/>
    </row>
    <row r="12" spans="1:13" ht="21">
      <c r="A12" s="11"/>
      <c r="B12" s="83" t="s">
        <v>98</v>
      </c>
      <c r="C12" s="39">
        <f>8+26</f>
        <v>34</v>
      </c>
      <c r="D12" s="39">
        <v>34</v>
      </c>
      <c r="E12" s="39"/>
      <c r="F12" s="156"/>
      <c r="G12" s="39">
        <v>67</v>
      </c>
      <c r="H12" s="39"/>
      <c r="I12" s="155"/>
      <c r="J12" s="186"/>
      <c r="K12" s="186"/>
    </row>
    <row r="13" spans="1:13" s="3" customFormat="1" ht="18">
      <c r="A13" s="11"/>
      <c r="B13" s="15" t="s">
        <v>13</v>
      </c>
      <c r="C13" s="56">
        <v>328</v>
      </c>
      <c r="D13" s="56">
        <v>326</v>
      </c>
      <c r="E13" s="56"/>
      <c r="F13" s="155"/>
      <c r="G13" s="56">
        <v>655</v>
      </c>
      <c r="H13" s="56"/>
      <c r="I13" s="155"/>
      <c r="J13" s="186"/>
      <c r="K13" s="186"/>
      <c r="L13" s="10"/>
      <c r="M13" s="10"/>
    </row>
    <row r="14" spans="1:13" s="89" customFormat="1" ht="18.75">
      <c r="A14" s="90"/>
      <c r="B14" s="15" t="s">
        <v>54</v>
      </c>
      <c r="C14" s="99">
        <v>0.376</v>
      </c>
      <c r="D14" s="99">
        <v>0.34699999999999998</v>
      </c>
      <c r="E14" s="99"/>
      <c r="F14" s="152"/>
      <c r="G14" s="99">
        <v>0.36099999999999999</v>
      </c>
      <c r="H14" s="99"/>
      <c r="I14" s="155"/>
      <c r="J14" s="186"/>
      <c r="K14" s="186"/>
      <c r="L14" s="187"/>
      <c r="M14" s="187"/>
    </row>
    <row r="15" spans="1:13" ht="18">
      <c r="A15" s="16"/>
      <c r="B15" s="12" t="s">
        <v>19</v>
      </c>
      <c r="C15" s="42">
        <v>-155</v>
      </c>
      <c r="D15" s="42">
        <v>-169</v>
      </c>
      <c r="E15" s="42"/>
      <c r="F15" s="156"/>
      <c r="G15" s="42">
        <v>-324</v>
      </c>
      <c r="H15" s="42"/>
      <c r="I15" s="155"/>
      <c r="J15" s="186"/>
      <c r="K15" s="186"/>
    </row>
    <row r="16" spans="1:13" s="3" customFormat="1" ht="18">
      <c r="A16" s="54"/>
      <c r="B16" s="171" t="s">
        <v>55</v>
      </c>
      <c r="C16" s="196">
        <v>173</v>
      </c>
      <c r="D16" s="196">
        <v>158</v>
      </c>
      <c r="E16" s="196"/>
      <c r="F16" s="156"/>
      <c r="G16" s="196">
        <v>331</v>
      </c>
      <c r="H16" s="196"/>
      <c r="I16" s="155"/>
      <c r="J16" s="186"/>
      <c r="K16" s="186"/>
      <c r="L16" s="10"/>
      <c r="M16" s="10"/>
    </row>
    <row r="17" spans="1:13" s="3" customFormat="1" ht="18">
      <c r="A17" s="175"/>
      <c r="B17" s="15"/>
      <c r="C17" s="52"/>
      <c r="D17" s="52"/>
      <c r="E17" s="52"/>
      <c r="F17" s="156"/>
      <c r="G17" s="52"/>
      <c r="H17" s="52"/>
      <c r="I17" s="155"/>
      <c r="J17" s="10"/>
      <c r="K17" s="10"/>
      <c r="L17" s="10"/>
      <c r="M17" s="10"/>
    </row>
    <row r="18" spans="1:13" s="3" customFormat="1" ht="18">
      <c r="C18" s="52"/>
      <c r="D18" s="52"/>
      <c r="E18" s="52"/>
      <c r="F18" s="156"/>
      <c r="G18" s="52"/>
      <c r="H18" s="52"/>
      <c r="I18" s="155"/>
      <c r="J18" s="10"/>
      <c r="K18" s="10"/>
      <c r="L18" s="10"/>
      <c r="M18" s="10"/>
    </row>
    <row r="19" spans="1:13" s="3" customFormat="1" ht="18">
      <c r="A19" s="170" t="s">
        <v>99</v>
      </c>
      <c r="B19" s="227"/>
      <c r="C19" s="225"/>
      <c r="D19" s="225"/>
      <c r="E19" s="225"/>
      <c r="F19" s="223"/>
      <c r="G19" s="17"/>
      <c r="H19" s="17"/>
      <c r="I19" s="155"/>
      <c r="J19" s="10"/>
      <c r="K19" s="10"/>
      <c r="L19" s="10"/>
      <c r="M19" s="10"/>
    </row>
    <row r="20" spans="1:13" s="3" customFormat="1" ht="18">
      <c r="A20" s="18"/>
      <c r="B20" s="224" t="s">
        <v>58</v>
      </c>
      <c r="C20" s="47">
        <v>592</v>
      </c>
      <c r="D20" s="47">
        <v>658</v>
      </c>
      <c r="E20" s="47"/>
      <c r="F20" s="226"/>
      <c r="G20" s="47">
        <v>1250</v>
      </c>
      <c r="H20" s="47"/>
      <c r="I20" s="155"/>
      <c r="J20" s="186"/>
      <c r="K20" s="186"/>
      <c r="L20" s="10"/>
      <c r="M20" s="10"/>
    </row>
    <row r="21" spans="1:13" s="97" customFormat="1" ht="18.75">
      <c r="A21" s="98"/>
      <c r="B21" s="94" t="s">
        <v>59</v>
      </c>
      <c r="C21" s="88">
        <v>422</v>
      </c>
      <c r="D21" s="88">
        <v>431</v>
      </c>
      <c r="E21" s="88"/>
      <c r="F21" s="155"/>
      <c r="G21" s="88">
        <v>852</v>
      </c>
      <c r="H21" s="88"/>
      <c r="I21" s="155"/>
      <c r="J21" s="186"/>
      <c r="K21" s="186"/>
      <c r="L21" s="188"/>
      <c r="M21" s="188"/>
    </row>
    <row r="22" spans="1:13" s="97" customFormat="1" ht="18.75">
      <c r="A22" s="98"/>
      <c r="B22" s="94" t="s">
        <v>77</v>
      </c>
      <c r="C22" s="88">
        <v>170</v>
      </c>
      <c r="D22" s="88">
        <v>227</v>
      </c>
      <c r="E22" s="88"/>
      <c r="F22" s="155"/>
      <c r="G22" s="88">
        <v>397</v>
      </c>
      <c r="H22" s="88"/>
      <c r="I22" s="155"/>
      <c r="J22" s="186"/>
      <c r="K22" s="186"/>
      <c r="L22" s="188"/>
      <c r="M22" s="188"/>
    </row>
    <row r="23" spans="1:13" s="97" customFormat="1" ht="21.75">
      <c r="A23" s="98"/>
      <c r="B23" s="94" t="s">
        <v>100</v>
      </c>
      <c r="C23" s="88">
        <v>1</v>
      </c>
      <c r="D23" s="62" t="s">
        <v>49</v>
      </c>
      <c r="E23" s="62"/>
      <c r="F23" s="155"/>
      <c r="G23" s="88">
        <v>1</v>
      </c>
      <c r="H23" s="88"/>
      <c r="I23" s="155"/>
      <c r="J23" s="186"/>
      <c r="K23" s="186"/>
      <c r="L23" s="188"/>
      <c r="M23" s="188"/>
    </row>
    <row r="24" spans="1:13" s="3" customFormat="1" ht="21">
      <c r="A24" s="18"/>
      <c r="B24" s="83" t="s">
        <v>101</v>
      </c>
      <c r="C24" s="47">
        <v>138</v>
      </c>
      <c r="D24" s="47">
        <v>140</v>
      </c>
      <c r="E24" s="47"/>
      <c r="F24" s="155"/>
      <c r="G24" s="47">
        <v>278</v>
      </c>
      <c r="H24" s="47"/>
      <c r="I24" s="156"/>
      <c r="J24" s="189"/>
      <c r="K24" s="189"/>
      <c r="L24" s="5"/>
      <c r="M24" s="5"/>
    </row>
    <row r="25" spans="1:13" s="3" customFormat="1" ht="18">
      <c r="A25" s="18"/>
      <c r="B25" s="83" t="s">
        <v>102</v>
      </c>
      <c r="C25" s="47">
        <v>74</v>
      </c>
      <c r="D25" s="47">
        <v>68</v>
      </c>
      <c r="E25" s="47"/>
      <c r="F25" s="155"/>
      <c r="G25" s="47">
        <v>142</v>
      </c>
      <c r="H25" s="47"/>
      <c r="I25" s="155"/>
      <c r="J25" s="186"/>
      <c r="K25" s="186"/>
      <c r="L25" s="10"/>
      <c r="M25" s="10"/>
    </row>
    <row r="26" spans="1:13" s="3" customFormat="1" ht="18">
      <c r="A26" s="18"/>
      <c r="B26" s="83" t="s">
        <v>35</v>
      </c>
      <c r="C26" s="47">
        <v>48</v>
      </c>
      <c r="D26" s="47">
        <v>47</v>
      </c>
      <c r="E26" s="47"/>
      <c r="F26" s="155"/>
      <c r="G26" s="47">
        <v>95</v>
      </c>
      <c r="H26" s="47"/>
      <c r="I26" s="155"/>
      <c r="J26" s="186"/>
      <c r="K26" s="186"/>
      <c r="L26" s="10"/>
      <c r="M26" s="10"/>
    </row>
    <row r="27" spans="1:13" s="74" customFormat="1" ht="21.75" thickBot="1">
      <c r="A27" s="73"/>
      <c r="B27" s="82" t="s">
        <v>103</v>
      </c>
      <c r="C27" s="19">
        <v>21</v>
      </c>
      <c r="D27" s="19">
        <v>28</v>
      </c>
      <c r="E27" s="19"/>
      <c r="F27" s="155"/>
      <c r="G27" s="19">
        <v>50</v>
      </c>
      <c r="H27" s="19"/>
      <c r="I27" s="155"/>
      <c r="J27" s="186"/>
      <c r="K27" s="186"/>
      <c r="L27" s="141"/>
      <c r="M27" s="141"/>
    </row>
    <row r="28" spans="1:13" ht="18">
      <c r="A28" s="21"/>
      <c r="B28" s="84"/>
      <c r="C28" s="103">
        <v>874</v>
      </c>
      <c r="D28" s="103">
        <v>941</v>
      </c>
      <c r="E28" s="103"/>
      <c r="F28" s="155"/>
      <c r="G28" s="103">
        <v>1814</v>
      </c>
      <c r="H28" s="103"/>
      <c r="I28" s="155"/>
      <c r="J28" s="186"/>
      <c r="K28" s="186"/>
    </row>
    <row r="29" spans="1:13" ht="18">
      <c r="A29" s="21"/>
      <c r="B29" s="84"/>
      <c r="C29" s="44"/>
      <c r="D29" s="44"/>
      <c r="E29" s="44"/>
      <c r="F29" s="155"/>
      <c r="G29" s="44"/>
      <c r="H29" s="44"/>
      <c r="I29" s="155"/>
    </row>
    <row r="30" spans="1:13" ht="18">
      <c r="A30" s="18" t="s">
        <v>104</v>
      </c>
      <c r="B30" s="81"/>
      <c r="C30" s="45"/>
      <c r="D30" s="45"/>
      <c r="E30" s="45"/>
      <c r="F30" s="155"/>
      <c r="G30" s="45"/>
      <c r="H30" s="45"/>
      <c r="I30" s="155"/>
    </row>
    <row r="31" spans="1:13" ht="21">
      <c r="A31" s="21"/>
      <c r="B31" s="84" t="s">
        <v>105</v>
      </c>
      <c r="C31" s="42">
        <v>128</v>
      </c>
      <c r="D31" s="42">
        <v>147</v>
      </c>
      <c r="E31" s="42"/>
      <c r="F31" s="155"/>
      <c r="G31" s="42">
        <v>274</v>
      </c>
      <c r="H31" s="42"/>
      <c r="I31" s="155"/>
      <c r="J31" s="186"/>
      <c r="K31" s="186"/>
    </row>
    <row r="32" spans="1:13" ht="18">
      <c r="A32" s="21"/>
      <c r="B32" s="84" t="s">
        <v>71</v>
      </c>
      <c r="C32" s="42">
        <v>79</v>
      </c>
      <c r="D32" s="42">
        <v>83</v>
      </c>
      <c r="E32" s="42"/>
      <c r="F32" s="155"/>
      <c r="G32" s="42">
        <v>161</v>
      </c>
      <c r="H32" s="42"/>
      <c r="I32" s="155"/>
      <c r="J32" s="186"/>
      <c r="K32" s="186"/>
    </row>
    <row r="33" spans="1:13" ht="18">
      <c r="A33" s="21"/>
      <c r="B33" s="84" t="s">
        <v>41</v>
      </c>
      <c r="C33" s="42">
        <v>107</v>
      </c>
      <c r="D33" s="42">
        <v>97</v>
      </c>
      <c r="E33" s="42"/>
      <c r="F33" s="155"/>
      <c r="G33" s="42">
        <v>204</v>
      </c>
      <c r="H33" s="42"/>
      <c r="I33" s="155"/>
      <c r="J33" s="186"/>
      <c r="K33" s="186"/>
    </row>
    <row r="34" spans="1:13" ht="18">
      <c r="A34" s="21"/>
      <c r="B34" s="84" t="s">
        <v>72</v>
      </c>
      <c r="C34" s="42">
        <v>231</v>
      </c>
      <c r="D34" s="42">
        <v>279</v>
      </c>
      <c r="E34" s="42"/>
      <c r="F34" s="155"/>
      <c r="G34" s="42">
        <v>510</v>
      </c>
      <c r="H34" s="42"/>
      <c r="I34" s="155"/>
      <c r="J34" s="186"/>
      <c r="K34" s="186"/>
    </row>
    <row r="35" spans="1:13" s="5" customFormat="1" ht="18" hidden="1" customHeight="1">
      <c r="A35" s="21"/>
      <c r="B35" s="84"/>
      <c r="C35" s="41"/>
      <c r="D35" s="41"/>
      <c r="E35" s="41"/>
      <c r="F35" s="155"/>
      <c r="G35" s="41"/>
      <c r="H35" s="41"/>
      <c r="I35" s="155"/>
      <c r="J35" s="186"/>
      <c r="K35" s="186"/>
    </row>
    <row r="36" spans="1:13" ht="18">
      <c r="A36" s="21"/>
      <c r="B36" s="84" t="s">
        <v>43</v>
      </c>
      <c r="C36" s="42">
        <v>28</v>
      </c>
      <c r="D36" s="42">
        <v>35</v>
      </c>
      <c r="E36" s="42"/>
      <c r="F36" s="155"/>
      <c r="G36" s="42">
        <v>62</v>
      </c>
      <c r="H36" s="42"/>
      <c r="I36" s="155"/>
      <c r="J36" s="186"/>
      <c r="K36" s="186"/>
    </row>
    <row r="37" spans="1:13" ht="18.75" thickBot="1">
      <c r="A37" s="21"/>
      <c r="B37" s="84" t="s">
        <v>37</v>
      </c>
      <c r="C37" s="43">
        <f>-19+26</f>
        <v>7</v>
      </c>
      <c r="D37" s="43">
        <v>8</v>
      </c>
      <c r="E37" s="43"/>
      <c r="F37" s="155"/>
      <c r="G37" s="43">
        <v>15</v>
      </c>
      <c r="H37" s="43"/>
      <c r="I37" s="155"/>
      <c r="J37" s="186"/>
      <c r="K37" s="186"/>
    </row>
    <row r="38" spans="1:13" ht="18">
      <c r="A38" s="38"/>
      <c r="B38" s="102"/>
      <c r="C38" s="107">
        <f>553+26</f>
        <v>579</v>
      </c>
      <c r="D38" s="107">
        <v>648</v>
      </c>
      <c r="E38" s="107"/>
      <c r="F38" s="155"/>
      <c r="G38" s="107">
        <v>1227</v>
      </c>
      <c r="H38" s="107"/>
      <c r="I38" s="155"/>
      <c r="J38" s="186"/>
      <c r="K38" s="186"/>
    </row>
    <row r="39" spans="1:13" ht="18">
      <c r="A39" s="40"/>
      <c r="B39" s="40"/>
      <c r="C39" s="52"/>
      <c r="D39" s="52"/>
      <c r="E39" s="52"/>
      <c r="F39" s="139"/>
      <c r="G39" s="52"/>
      <c r="H39" s="52"/>
    </row>
    <row r="40" spans="1:13" ht="18">
      <c r="A40" s="40"/>
      <c r="B40" s="191" t="s">
        <v>106</v>
      </c>
      <c r="C40" s="52"/>
      <c r="D40" s="52"/>
      <c r="E40" s="52"/>
      <c r="F40" s="139"/>
      <c r="G40" s="52"/>
      <c r="H40" s="52"/>
    </row>
    <row r="41" spans="1:13" ht="18">
      <c r="A41" s="40"/>
      <c r="B41" s="40"/>
      <c r="C41" s="52"/>
      <c r="D41" s="52"/>
      <c r="E41" s="52"/>
      <c r="F41" s="139"/>
      <c r="G41" s="52"/>
      <c r="H41" s="52"/>
    </row>
    <row r="42" spans="1:13" ht="18">
      <c r="A42" s="40"/>
      <c r="B42" s="140" t="s">
        <v>107</v>
      </c>
      <c r="C42" s="52"/>
      <c r="D42" s="52"/>
      <c r="E42" s="52"/>
      <c r="F42" s="139"/>
      <c r="G42" s="52"/>
      <c r="H42" s="52"/>
    </row>
    <row r="43" spans="1:13" ht="18">
      <c r="A43" s="40"/>
      <c r="B43" s="140" t="s">
        <v>86</v>
      </c>
      <c r="C43" s="122"/>
      <c r="D43" s="122"/>
      <c r="E43" s="122"/>
      <c r="F43" s="139"/>
      <c r="G43" s="5"/>
      <c r="H43" s="5"/>
    </row>
    <row r="44" spans="1:13" ht="18">
      <c r="A44" s="40"/>
      <c r="B44" s="140" t="s">
        <v>108</v>
      </c>
      <c r="C44" s="193"/>
      <c r="D44" s="193"/>
      <c r="E44" s="193"/>
      <c r="F44" s="139"/>
      <c r="G44" s="5"/>
      <c r="H44" s="5"/>
      <c r="I44" s="69"/>
    </row>
    <row r="45" spans="1:13" ht="18">
      <c r="A45" s="121"/>
      <c r="B45" s="140" t="s">
        <v>109</v>
      </c>
      <c r="C45" s="40"/>
      <c r="D45" s="40"/>
      <c r="E45" s="40"/>
    </row>
    <row r="46" spans="1:13" s="69" customFormat="1" ht="18">
      <c r="A46" s="79"/>
      <c r="B46" s="140" t="s">
        <v>110</v>
      </c>
      <c r="C46" s="79"/>
      <c r="D46" s="79"/>
      <c r="E46" s="79"/>
    </row>
    <row r="47" spans="1:13" s="70" customFormat="1" ht="18">
      <c r="A47" s="72"/>
      <c r="B47" s="140" t="s">
        <v>111</v>
      </c>
      <c r="I47" s="69"/>
      <c r="J47" s="69"/>
      <c r="K47" s="69"/>
      <c r="L47" s="69"/>
      <c r="M47" s="69"/>
    </row>
    <row r="48" spans="1:13" s="70" customFormat="1" ht="18">
      <c r="A48" s="72"/>
      <c r="B48" s="140" t="s">
        <v>112</v>
      </c>
      <c r="I48" s="69"/>
      <c r="J48" s="69"/>
      <c r="K48" s="69"/>
      <c r="L48" s="69"/>
      <c r="M48" s="69"/>
    </row>
    <row r="49" spans="2:5" ht="18">
      <c r="B49" s="5"/>
      <c r="C49" s="100"/>
      <c r="D49" s="100"/>
      <c r="E49" s="100"/>
    </row>
    <row r="50" spans="2:5" ht="18">
      <c r="C50" s="12"/>
      <c r="D50" s="12"/>
      <c r="E50" s="12"/>
    </row>
    <row r="51" spans="2:5" ht="18">
      <c r="C51" s="91"/>
      <c r="D51" s="91"/>
      <c r="E51" s="91"/>
    </row>
    <row r="52" spans="2:5" ht="18">
      <c r="C52" s="12"/>
      <c r="D52" s="12"/>
      <c r="E52" s="12"/>
    </row>
    <row r="53" spans="2:5" ht="18">
      <c r="C53" s="91"/>
      <c r="D53" s="91"/>
      <c r="E53" s="91"/>
    </row>
    <row r="54" spans="2:5" ht="18">
      <c r="C54" s="12"/>
      <c r="D54" s="12"/>
      <c r="E54" s="12"/>
    </row>
  </sheetData>
  <mergeCells count="1">
    <mergeCell ref="C5:D5"/>
  </mergeCells>
  <pageMargins left="0.70866141732283505" right="0.70866141732283505" top="0.74803149606299202" bottom="0.74803149606299202" header="0.31496062992126" footer="0.31496062992126"/>
  <pageSetup paperSize="9" scale="56" orientation="landscape" r:id="rId1"/>
  <colBreaks count="1" manualBreakCount="1">
    <brk id="5" max="1048575" man="1"/>
  </col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07A14-D741-4610-BF47-9E2197E0D442}">
  <sheetPr>
    <pageSetUpPr fitToPage="1"/>
  </sheetPr>
  <dimension ref="A1:O61"/>
  <sheetViews>
    <sheetView view="pageBreakPreview" zoomScale="70" zoomScaleNormal="100" zoomScaleSheetLayoutView="70" workbookViewId="0">
      <selection activeCell="B38" sqref="B38"/>
    </sheetView>
  </sheetViews>
  <sheetFormatPr defaultColWidth="9.28515625" defaultRowHeight="16.5"/>
  <cols>
    <col min="1" max="1" width="1.7109375" style="2" customWidth="1"/>
    <col min="2" max="2" width="92.5703125" style="2" customWidth="1"/>
    <col min="3" max="4" width="19.28515625" style="2" hidden="1" customWidth="1"/>
    <col min="5" max="6" width="19.28515625" style="2" customWidth="1"/>
    <col min="7" max="8" width="20.5703125" style="2" customWidth="1"/>
    <col min="9" max="9" width="7.85546875" style="2" customWidth="1"/>
    <col min="10" max="10" width="19.140625" style="2" hidden="1" customWidth="1"/>
    <col min="11" max="12" width="19.140625" style="2" customWidth="1"/>
    <col min="13" max="13" width="11.42578125" style="2" customWidth="1"/>
    <col min="14" max="19" width="9.28515625" style="2"/>
    <col min="20" max="20" width="13.85546875" style="2" customWidth="1"/>
    <col min="21" max="16384" width="9.28515625" style="2"/>
  </cols>
  <sheetData>
    <row r="1" spans="1:15" ht="21" customHeight="1">
      <c r="A1" s="1" t="s">
        <v>0</v>
      </c>
    </row>
    <row r="2" spans="1:15" ht="8.25" customHeight="1">
      <c r="C2" s="5"/>
      <c r="D2" s="5"/>
      <c r="E2" s="5"/>
      <c r="F2" s="5"/>
      <c r="G2" s="5"/>
      <c r="H2" s="5"/>
    </row>
    <row r="3" spans="1:15" s="70" customFormat="1" ht="18">
      <c r="A3" s="68" t="s">
        <v>149</v>
      </c>
      <c r="B3" s="69"/>
      <c r="C3" s="5"/>
      <c r="D3" s="5"/>
      <c r="E3" s="5"/>
      <c r="F3" s="5"/>
      <c r="G3" s="5"/>
      <c r="H3" s="5"/>
      <c r="I3" s="5"/>
    </row>
    <row r="4" spans="1:15" s="5" customFormat="1" ht="11.25" customHeight="1">
      <c r="A4" s="10"/>
      <c r="C4" s="2"/>
      <c r="D4" s="2"/>
      <c r="E4" s="2"/>
      <c r="F4" s="2"/>
      <c r="G4" s="2"/>
      <c r="H4" s="2"/>
    </row>
    <row r="5" spans="1:15" s="5" customFormat="1" ht="18" customHeight="1">
      <c r="A5" s="128"/>
      <c r="B5" s="131"/>
      <c r="C5" s="581" t="s">
        <v>7</v>
      </c>
      <c r="D5" s="582"/>
      <c r="E5" s="581" t="s">
        <v>2</v>
      </c>
      <c r="F5" s="582"/>
      <c r="G5" s="579" t="s">
        <v>3</v>
      </c>
      <c r="H5" s="580"/>
      <c r="J5" s="185"/>
      <c r="K5" s="185"/>
      <c r="L5" s="190"/>
    </row>
    <row r="6" spans="1:15" s="5" customFormat="1" ht="17.45" hidden="1" customHeight="1">
      <c r="A6" s="129" t="s">
        <v>4</v>
      </c>
      <c r="B6" s="167"/>
      <c r="C6" s="119"/>
      <c r="D6" s="119"/>
      <c r="E6" s="119"/>
      <c r="F6" s="119"/>
      <c r="G6" s="120"/>
      <c r="H6" s="386"/>
      <c r="J6" s="169"/>
      <c r="K6" s="169"/>
      <c r="L6" s="143"/>
    </row>
    <row r="7" spans="1:15" s="5" customFormat="1" ht="18">
      <c r="A7" s="166" t="s">
        <v>4</v>
      </c>
      <c r="B7" s="177"/>
      <c r="C7" s="178" t="s">
        <v>5</v>
      </c>
      <c r="D7" s="178" t="s">
        <v>6</v>
      </c>
      <c r="E7" s="178" t="s">
        <v>5</v>
      </c>
      <c r="F7" s="178" t="s">
        <v>6</v>
      </c>
      <c r="G7" s="178" t="s">
        <v>5</v>
      </c>
      <c r="H7" s="178" t="s">
        <v>6</v>
      </c>
      <c r="J7" s="163" t="s">
        <v>7</v>
      </c>
      <c r="K7" s="163" t="s">
        <v>2</v>
      </c>
      <c r="L7" s="163" t="s">
        <v>3</v>
      </c>
    </row>
    <row r="8" spans="1:15" ht="18">
      <c r="A8" s="11" t="s">
        <v>8</v>
      </c>
      <c r="B8" s="12"/>
      <c r="C8" s="13"/>
      <c r="D8" s="13"/>
      <c r="E8" s="263"/>
      <c r="F8" s="13"/>
      <c r="G8" s="263"/>
      <c r="H8" s="13"/>
      <c r="I8" s="261"/>
      <c r="J8" s="303"/>
      <c r="K8" s="304"/>
      <c r="L8" s="304"/>
      <c r="M8" s="285"/>
    </row>
    <row r="9" spans="1:15" s="3" customFormat="1" ht="18">
      <c r="A9" s="11"/>
      <c r="B9" s="284" t="s">
        <v>9</v>
      </c>
      <c r="C9" s="305">
        <v>1283</v>
      </c>
      <c r="D9" s="305">
        <v>1445</v>
      </c>
      <c r="E9" s="332">
        <v>1396</v>
      </c>
      <c r="F9" s="305">
        <v>1438</v>
      </c>
      <c r="G9" s="332">
        <v>1431</v>
      </c>
      <c r="H9" s="305">
        <v>1547</v>
      </c>
      <c r="I9" s="324"/>
      <c r="J9" s="332">
        <v>2728</v>
      </c>
      <c r="K9" s="332">
        <v>2835</v>
      </c>
      <c r="L9" s="332">
        <v>2979</v>
      </c>
      <c r="M9" s="285"/>
      <c r="N9" s="195"/>
      <c r="O9" s="391"/>
    </row>
    <row r="10" spans="1:15" ht="17.100000000000001" customHeight="1">
      <c r="A10" s="11"/>
      <c r="B10" s="439" t="s">
        <v>10</v>
      </c>
      <c r="C10" s="306">
        <v>-1171</v>
      </c>
      <c r="D10" s="306">
        <v>-1306</v>
      </c>
      <c r="E10" s="360">
        <v>-1259</v>
      </c>
      <c r="F10" s="306">
        <v>-1313</v>
      </c>
      <c r="G10" s="360">
        <v>-1267</v>
      </c>
      <c r="H10" s="306">
        <v>-1389</v>
      </c>
      <c r="I10" s="321"/>
      <c r="J10" s="360">
        <v>-2477</v>
      </c>
      <c r="K10" s="360">
        <v>-2573</v>
      </c>
      <c r="L10" s="360">
        <v>-2656</v>
      </c>
      <c r="M10" s="285"/>
      <c r="N10" s="195"/>
      <c r="O10" s="391"/>
    </row>
    <row r="11" spans="1:15" ht="17.100000000000001" customHeight="1">
      <c r="A11" s="11"/>
      <c r="B11" s="414" t="s">
        <v>11</v>
      </c>
      <c r="C11" s="307">
        <v>112</v>
      </c>
      <c r="D11" s="307">
        <v>139</v>
      </c>
      <c r="E11" s="361">
        <v>137</v>
      </c>
      <c r="F11" s="307">
        <v>125</v>
      </c>
      <c r="G11" s="361">
        <v>164</v>
      </c>
      <c r="H11" s="307">
        <v>158</v>
      </c>
      <c r="I11" s="321"/>
      <c r="J11" s="361">
        <v>250</v>
      </c>
      <c r="K11" s="361">
        <v>262</v>
      </c>
      <c r="L11" s="361">
        <v>323</v>
      </c>
      <c r="M11" s="285"/>
      <c r="N11" s="195"/>
      <c r="O11" s="391"/>
    </row>
    <row r="12" spans="1:15" ht="19.5" customHeight="1">
      <c r="A12" s="11"/>
      <c r="B12" s="439" t="s">
        <v>150</v>
      </c>
      <c r="C12" s="306">
        <v>-2</v>
      </c>
      <c r="D12" s="306">
        <v>6</v>
      </c>
      <c r="E12" s="360">
        <v>-1</v>
      </c>
      <c r="F12" s="306">
        <v>5</v>
      </c>
      <c r="G12" s="360">
        <v>5</v>
      </c>
      <c r="H12" s="306">
        <v>4</v>
      </c>
      <c r="I12" s="321"/>
      <c r="J12" s="360">
        <v>4</v>
      </c>
      <c r="K12" s="360">
        <v>4</v>
      </c>
      <c r="L12" s="360">
        <v>8</v>
      </c>
      <c r="M12" s="285"/>
      <c r="N12" s="195"/>
      <c r="O12" s="391"/>
    </row>
    <row r="13" spans="1:15" s="3" customFormat="1" ht="17.100000000000001" customHeight="1">
      <c r="A13" s="11"/>
      <c r="B13" s="440" t="s">
        <v>13</v>
      </c>
      <c r="C13" s="308">
        <v>110</v>
      </c>
      <c r="D13" s="308">
        <v>145</v>
      </c>
      <c r="E13" s="362">
        <v>136</v>
      </c>
      <c r="F13" s="308">
        <v>130</v>
      </c>
      <c r="G13" s="362">
        <v>169</v>
      </c>
      <c r="H13" s="308">
        <v>162</v>
      </c>
      <c r="I13" s="324"/>
      <c r="J13" s="362">
        <v>254</v>
      </c>
      <c r="K13" s="362">
        <v>266</v>
      </c>
      <c r="L13" s="362">
        <v>331</v>
      </c>
      <c r="M13" s="285"/>
      <c r="N13" s="195"/>
      <c r="O13" s="391"/>
    </row>
    <row r="14" spans="1:15" s="89" customFormat="1" ht="18.75">
      <c r="A14" s="90"/>
      <c r="B14" s="440" t="s">
        <v>54</v>
      </c>
      <c r="C14" s="384">
        <v>8.5000000000000006E-2</v>
      </c>
      <c r="D14" s="384">
        <v>0.1</v>
      </c>
      <c r="E14" s="384">
        <v>9.7000000000000003E-2</v>
      </c>
      <c r="F14" s="384">
        <v>0.09</v>
      </c>
      <c r="G14" s="384">
        <v>0.11799999999999999</v>
      </c>
      <c r="H14" s="384">
        <v>0.105</v>
      </c>
      <c r="I14" s="363"/>
      <c r="J14" s="384">
        <v>9.2999999999999999E-2</v>
      </c>
      <c r="K14" s="384">
        <v>9.4E-2</v>
      </c>
      <c r="L14" s="384">
        <v>0.111</v>
      </c>
      <c r="M14" s="285"/>
      <c r="N14" s="195"/>
      <c r="O14" s="391"/>
    </row>
    <row r="15" spans="1:15" s="89" customFormat="1" ht="21.75">
      <c r="A15" s="90"/>
      <c r="B15" s="251" t="s">
        <v>151</v>
      </c>
      <c r="C15" s="456">
        <v>-56</v>
      </c>
      <c r="D15" s="456">
        <v>-59</v>
      </c>
      <c r="E15" s="364">
        <v>-43</v>
      </c>
      <c r="F15" s="456">
        <v>-39</v>
      </c>
      <c r="G15" s="364">
        <v>-39</v>
      </c>
      <c r="H15" s="456">
        <v>-38</v>
      </c>
      <c r="I15" s="363"/>
      <c r="J15" s="364">
        <v>-115</v>
      </c>
      <c r="K15" s="364">
        <v>-83</v>
      </c>
      <c r="L15" s="364">
        <v>-77</v>
      </c>
      <c r="M15" s="285"/>
      <c r="N15" s="195"/>
      <c r="O15" s="391"/>
    </row>
    <row r="16" spans="1:15" s="3" customFormat="1" ht="18">
      <c r="A16" s="54"/>
      <c r="B16" s="286" t="s">
        <v>55</v>
      </c>
      <c r="C16" s="309">
        <v>53</v>
      </c>
      <c r="D16" s="309">
        <v>86</v>
      </c>
      <c r="E16" s="365">
        <v>93</v>
      </c>
      <c r="F16" s="309">
        <v>91</v>
      </c>
      <c r="G16" s="365">
        <v>130</v>
      </c>
      <c r="H16" s="309">
        <v>124</v>
      </c>
      <c r="I16" s="321"/>
      <c r="J16" s="365">
        <v>139</v>
      </c>
      <c r="K16" s="365">
        <v>183</v>
      </c>
      <c r="L16" s="365">
        <v>254</v>
      </c>
      <c r="M16" s="285"/>
      <c r="N16" s="195"/>
      <c r="O16" s="391"/>
    </row>
    <row r="17" spans="1:15" s="3" customFormat="1" ht="18">
      <c r="A17" s="175"/>
      <c r="B17" s="284"/>
      <c r="C17" s="283"/>
      <c r="D17" s="283"/>
      <c r="E17" s="331"/>
      <c r="F17" s="283"/>
      <c r="G17" s="331"/>
      <c r="H17" s="283"/>
      <c r="I17" s="321"/>
      <c r="J17" s="331"/>
      <c r="K17" s="331"/>
      <c r="L17" s="331"/>
      <c r="M17" s="285"/>
      <c r="N17" s="195"/>
      <c r="O17" s="391"/>
    </row>
    <row r="18" spans="1:15" s="3" customFormat="1" ht="18">
      <c r="A18" s="176"/>
      <c r="B18" s="411"/>
      <c r="C18" s="283"/>
      <c r="D18" s="283"/>
      <c r="E18" s="331"/>
      <c r="F18" s="52"/>
      <c r="G18" s="471"/>
      <c r="H18" s="52"/>
      <c r="I18" s="476"/>
      <c r="J18" s="471"/>
      <c r="K18" s="471"/>
      <c r="L18" s="471"/>
      <c r="M18" s="287"/>
      <c r="N18" s="195"/>
      <c r="O18" s="391"/>
    </row>
    <row r="19" spans="1:15" s="3" customFormat="1" ht="21">
      <c r="A19" s="170" t="s">
        <v>152</v>
      </c>
      <c r="B19" s="457"/>
      <c r="C19" s="270"/>
      <c r="D19" s="270"/>
      <c r="E19" s="366"/>
      <c r="F19" s="556"/>
      <c r="G19" s="557"/>
      <c r="H19" s="556"/>
      <c r="I19" s="476"/>
      <c r="J19" s="557"/>
      <c r="K19" s="557"/>
      <c r="L19" s="557"/>
      <c r="M19" s="285"/>
      <c r="N19" s="195"/>
      <c r="O19" s="391"/>
    </row>
    <row r="20" spans="1:15" s="3" customFormat="1" ht="18">
      <c r="A20" s="18"/>
      <c r="B20" s="289" t="s">
        <v>153</v>
      </c>
      <c r="C20" s="278">
        <v>882</v>
      </c>
      <c r="D20" s="278">
        <v>940</v>
      </c>
      <c r="E20" s="367">
        <f>894+1</f>
        <v>895</v>
      </c>
      <c r="F20" s="47">
        <v>1001</v>
      </c>
      <c r="G20" s="47">
        <v>964</v>
      </c>
      <c r="H20" s="47">
        <v>1087</v>
      </c>
      <c r="I20" s="476"/>
      <c r="J20" s="558">
        <v>1822</v>
      </c>
      <c r="K20" s="558">
        <v>1896</v>
      </c>
      <c r="L20" s="47">
        <v>2052</v>
      </c>
      <c r="M20" s="285"/>
      <c r="N20" s="195"/>
      <c r="O20" s="391"/>
    </row>
    <row r="21" spans="1:15" s="3" customFormat="1" ht="18">
      <c r="A21" s="18"/>
      <c r="B21" s="289" t="s">
        <v>154</v>
      </c>
      <c r="C21" s="278">
        <v>309</v>
      </c>
      <c r="D21" s="278">
        <v>379</v>
      </c>
      <c r="E21" s="367">
        <f>387+6</f>
        <v>393</v>
      </c>
      <c r="F21" s="47">
        <f>324+1</f>
        <v>325</v>
      </c>
      <c r="G21" s="47">
        <v>368</v>
      </c>
      <c r="H21" s="47">
        <v>348</v>
      </c>
      <c r="I21" s="476"/>
      <c r="J21" s="558">
        <v>689</v>
      </c>
      <c r="K21" s="558">
        <f>715+3</f>
        <v>718</v>
      </c>
      <c r="L21" s="47">
        <v>716</v>
      </c>
      <c r="M21" s="285"/>
      <c r="N21" s="195"/>
      <c r="O21" s="391"/>
    </row>
    <row r="22" spans="1:15" s="3" customFormat="1" ht="18">
      <c r="A22" s="18"/>
      <c r="B22" s="289" t="s">
        <v>155</v>
      </c>
      <c r="C22" s="278">
        <v>92</v>
      </c>
      <c r="D22" s="278">
        <v>125</v>
      </c>
      <c r="E22" s="367">
        <f>115-7</f>
        <v>108</v>
      </c>
      <c r="F22" s="47">
        <f>113-1</f>
        <v>112</v>
      </c>
      <c r="G22" s="47">
        <v>99</v>
      </c>
      <c r="H22" s="47">
        <v>112</v>
      </c>
      <c r="I22" s="476"/>
      <c r="J22" s="558">
        <v>217</v>
      </c>
      <c r="K22" s="558">
        <f>224-3</f>
        <v>221</v>
      </c>
      <c r="L22" s="47">
        <v>211</v>
      </c>
      <c r="M22" s="285"/>
      <c r="N22" s="195"/>
      <c r="O22" s="391"/>
    </row>
    <row r="23" spans="1:15" s="3" customFormat="1" ht="18.75" thickBot="1">
      <c r="A23" s="18"/>
      <c r="B23" s="458"/>
      <c r="C23" s="459">
        <v>1283</v>
      </c>
      <c r="D23" s="459">
        <v>1445</v>
      </c>
      <c r="E23" s="368">
        <v>1396</v>
      </c>
      <c r="F23" s="559">
        <v>1438</v>
      </c>
      <c r="G23" s="560">
        <v>1431</v>
      </c>
      <c r="H23" s="559">
        <v>1547</v>
      </c>
      <c r="I23" s="561"/>
      <c r="J23" s="560">
        <v>2728</v>
      </c>
      <c r="K23" s="560">
        <v>2835</v>
      </c>
      <c r="L23" s="560">
        <v>2979</v>
      </c>
      <c r="M23" s="285"/>
      <c r="N23" s="195"/>
      <c r="O23" s="391"/>
    </row>
    <row r="24" spans="1:15" s="3" customFormat="1" ht="18">
      <c r="A24" s="18"/>
      <c r="B24" s="460"/>
      <c r="C24" s="305"/>
      <c r="D24" s="305"/>
      <c r="E24" s="332"/>
      <c r="F24" s="56"/>
      <c r="G24" s="65"/>
      <c r="H24" s="56"/>
      <c r="I24" s="476"/>
      <c r="J24" s="65"/>
      <c r="K24" s="65"/>
      <c r="L24" s="65"/>
      <c r="M24" s="287"/>
      <c r="N24" s="195"/>
      <c r="O24" s="391"/>
    </row>
    <row r="25" spans="1:15" s="3" customFormat="1" ht="21">
      <c r="A25" s="546" t="s">
        <v>156</v>
      </c>
      <c r="B25" s="460"/>
      <c r="C25" s="305"/>
      <c r="D25" s="305"/>
      <c r="E25" s="332"/>
      <c r="F25" s="56"/>
      <c r="G25" s="65"/>
      <c r="H25" s="56"/>
      <c r="I25" s="562"/>
      <c r="J25" s="65"/>
      <c r="K25" s="65"/>
      <c r="L25" s="65"/>
      <c r="M25" s="287"/>
      <c r="N25" s="195"/>
      <c r="O25" s="391"/>
    </row>
    <row r="26" spans="1:15" s="3" customFormat="1" ht="18">
      <c r="A26" s="18"/>
      <c r="B26" s="289" t="s">
        <v>157</v>
      </c>
      <c r="C26" s="278">
        <v>530</v>
      </c>
      <c r="D26" s="278">
        <v>585</v>
      </c>
      <c r="E26" s="367">
        <v>588</v>
      </c>
      <c r="F26" s="47">
        <v>554</v>
      </c>
      <c r="G26" s="558">
        <v>587</v>
      </c>
      <c r="H26" s="47">
        <v>564</v>
      </c>
      <c r="I26" s="476"/>
      <c r="J26" s="558">
        <v>1115</v>
      </c>
      <c r="K26" s="558">
        <v>1142</v>
      </c>
      <c r="L26" s="558">
        <v>1151</v>
      </c>
      <c r="M26" s="285"/>
      <c r="N26" s="195"/>
      <c r="O26" s="391"/>
    </row>
    <row r="27" spans="1:15" s="3" customFormat="1" ht="18">
      <c r="A27" s="18"/>
      <c r="B27" s="289" t="s">
        <v>158</v>
      </c>
      <c r="C27" s="278">
        <v>585</v>
      </c>
      <c r="D27" s="278">
        <v>649</v>
      </c>
      <c r="E27" s="367">
        <v>589</v>
      </c>
      <c r="F27" s="47">
        <v>668</v>
      </c>
      <c r="G27" s="558">
        <v>640</v>
      </c>
      <c r="H27" s="47">
        <v>743</v>
      </c>
      <c r="I27" s="476"/>
      <c r="J27" s="558">
        <v>1234</v>
      </c>
      <c r="K27" s="558">
        <v>1257</v>
      </c>
      <c r="L27" s="558">
        <v>1383</v>
      </c>
      <c r="M27" s="285"/>
      <c r="N27" s="195"/>
      <c r="O27" s="391"/>
    </row>
    <row r="28" spans="1:15" s="3" customFormat="1" ht="18">
      <c r="A28" s="18"/>
      <c r="B28" s="289" t="s">
        <v>159</v>
      </c>
      <c r="C28" s="278">
        <v>102</v>
      </c>
      <c r="D28" s="278">
        <v>137</v>
      </c>
      <c r="E28" s="367">
        <v>140</v>
      </c>
      <c r="F28" s="278">
        <v>124</v>
      </c>
      <c r="G28" s="367">
        <v>127</v>
      </c>
      <c r="H28" s="278">
        <v>149</v>
      </c>
      <c r="I28" s="321"/>
      <c r="J28" s="367">
        <v>239</v>
      </c>
      <c r="K28" s="367">
        <v>264</v>
      </c>
      <c r="L28" s="367">
        <v>277</v>
      </c>
      <c r="M28" s="285"/>
      <c r="N28" s="195"/>
      <c r="O28" s="391"/>
    </row>
    <row r="29" spans="1:15" s="3" customFormat="1" ht="18">
      <c r="A29" s="18"/>
      <c r="B29" s="289" t="s">
        <v>160</v>
      </c>
      <c r="C29" s="278">
        <v>66</v>
      </c>
      <c r="D29" s="278">
        <v>74</v>
      </c>
      <c r="E29" s="367">
        <v>80</v>
      </c>
      <c r="F29" s="278">
        <v>92</v>
      </c>
      <c r="G29" s="367">
        <v>77</v>
      </c>
      <c r="H29" s="278">
        <v>91</v>
      </c>
      <c r="I29" s="321"/>
      <c r="J29" s="367">
        <v>140</v>
      </c>
      <c r="K29" s="367">
        <v>172</v>
      </c>
      <c r="L29" s="367">
        <v>168</v>
      </c>
      <c r="M29" s="285"/>
      <c r="N29" s="195"/>
      <c r="O29" s="391"/>
    </row>
    <row r="30" spans="1:15" s="3" customFormat="1" ht="18.75" thickBot="1">
      <c r="A30" s="18"/>
      <c r="B30" s="461"/>
      <c r="C30" s="459">
        <v>1283</v>
      </c>
      <c r="D30" s="459">
        <v>1445</v>
      </c>
      <c r="E30" s="368">
        <v>1396</v>
      </c>
      <c r="F30" s="459">
        <v>1438</v>
      </c>
      <c r="G30" s="368">
        <v>1431</v>
      </c>
      <c r="H30" s="459">
        <v>1547</v>
      </c>
      <c r="I30" s="324"/>
      <c r="J30" s="368">
        <v>2728</v>
      </c>
      <c r="K30" s="368">
        <v>2835</v>
      </c>
      <c r="L30" s="368">
        <v>2979</v>
      </c>
      <c r="M30" s="285"/>
      <c r="N30" s="195"/>
      <c r="O30" s="391"/>
    </row>
    <row r="31" spans="1:15" s="89" customFormat="1" ht="18.75" hidden="1">
      <c r="A31" s="96"/>
      <c r="B31" s="290" t="s">
        <v>161</v>
      </c>
      <c r="C31" s="310"/>
      <c r="D31" s="310"/>
      <c r="E31" s="369"/>
      <c r="F31" s="310"/>
      <c r="G31" s="369"/>
      <c r="H31" s="310"/>
      <c r="I31" s="363"/>
      <c r="J31" s="369"/>
      <c r="K31" s="369"/>
      <c r="L31" s="369"/>
      <c r="M31" s="285"/>
      <c r="N31" s="195"/>
      <c r="O31" s="391"/>
    </row>
    <row r="32" spans="1:15" s="3" customFormat="1" ht="18">
      <c r="A32" s="18"/>
      <c r="B32" s="422"/>
      <c r="C32" s="278"/>
      <c r="D32" s="278"/>
      <c r="E32" s="367"/>
      <c r="F32" s="278"/>
      <c r="G32" s="367"/>
      <c r="H32" s="278"/>
      <c r="I32" s="321"/>
      <c r="J32" s="367"/>
      <c r="K32" s="367"/>
      <c r="L32" s="367"/>
      <c r="M32" s="285"/>
      <c r="N32" s="195"/>
      <c r="O32" s="391"/>
    </row>
    <row r="33" spans="1:15" s="95" customFormat="1" ht="19.5" customHeight="1">
      <c r="A33" s="93"/>
      <c r="B33" s="359" t="s">
        <v>162</v>
      </c>
      <c r="C33" s="390">
        <v>0.5</v>
      </c>
      <c r="D33" s="390">
        <v>0.5</v>
      </c>
      <c r="E33" s="390">
        <v>0.51</v>
      </c>
      <c r="F33" s="390">
        <v>0.52</v>
      </c>
      <c r="G33" s="390">
        <v>0.51</v>
      </c>
      <c r="H33" s="390">
        <v>0.55000000000000004</v>
      </c>
      <c r="I33" s="363"/>
      <c r="J33" s="390">
        <v>0.51</v>
      </c>
      <c r="K33" s="390">
        <v>0.51</v>
      </c>
      <c r="L33" s="390">
        <v>0.53</v>
      </c>
      <c r="M33" s="285"/>
      <c r="N33" s="195"/>
      <c r="O33" s="391"/>
    </row>
    <row r="34" spans="1:15" s="95" customFormat="1" ht="18.75">
      <c r="A34" s="93"/>
      <c r="B34" s="290"/>
      <c r="C34" s="310"/>
      <c r="D34" s="310"/>
      <c r="E34" s="369"/>
      <c r="F34" s="310"/>
      <c r="G34" s="369"/>
      <c r="H34" s="310"/>
      <c r="I34" s="363"/>
      <c r="J34" s="369"/>
      <c r="K34" s="369"/>
      <c r="L34" s="369"/>
      <c r="M34" s="285"/>
      <c r="N34" s="195"/>
      <c r="O34" s="391"/>
    </row>
    <row r="35" spans="1:15" ht="18">
      <c r="A35" s="21"/>
      <c r="B35" s="299"/>
      <c r="C35" s="279"/>
      <c r="D35" s="279"/>
      <c r="E35" s="370"/>
      <c r="F35" s="279"/>
      <c r="G35" s="370"/>
      <c r="H35" s="279"/>
      <c r="I35" s="321"/>
      <c r="J35" s="370"/>
      <c r="K35" s="370"/>
      <c r="L35" s="370"/>
      <c r="M35" s="285"/>
      <c r="N35" s="195"/>
      <c r="O35" s="391"/>
    </row>
    <row r="36" spans="1:15" ht="18">
      <c r="A36" s="18" t="s">
        <v>163</v>
      </c>
      <c r="B36" s="300"/>
      <c r="C36" s="248"/>
      <c r="D36" s="248"/>
      <c r="E36" s="371"/>
      <c r="F36" s="248"/>
      <c r="G36" s="371"/>
      <c r="H36" s="248"/>
      <c r="I36" s="321"/>
      <c r="J36" s="371"/>
      <c r="K36" s="371"/>
      <c r="L36" s="371"/>
      <c r="M36" s="285"/>
      <c r="N36" s="195"/>
      <c r="O36" s="391"/>
    </row>
    <row r="37" spans="1:15" ht="18">
      <c r="A37" s="21"/>
      <c r="B37" s="299" t="s">
        <v>164</v>
      </c>
      <c r="C37" s="252">
        <v>51</v>
      </c>
      <c r="D37" s="252">
        <v>51</v>
      </c>
      <c r="E37" s="330">
        <v>48</v>
      </c>
      <c r="F37" s="252">
        <v>52</v>
      </c>
      <c r="G37" s="330">
        <v>49</v>
      </c>
      <c r="H37" s="252">
        <v>54</v>
      </c>
      <c r="I37" s="321"/>
      <c r="J37" s="330">
        <v>102</v>
      </c>
      <c r="K37" s="330">
        <v>101</v>
      </c>
      <c r="L37" s="330">
        <v>103</v>
      </c>
      <c r="M37" s="285"/>
      <c r="N37" s="195"/>
      <c r="O37" s="391"/>
    </row>
    <row r="38" spans="1:15" ht="21">
      <c r="A38" s="21"/>
      <c r="B38" s="299" t="s">
        <v>274</v>
      </c>
      <c r="C38" s="252">
        <v>556</v>
      </c>
      <c r="D38" s="252">
        <v>577</v>
      </c>
      <c r="E38" s="330">
        <v>603</v>
      </c>
      <c r="F38" s="252">
        <v>562</v>
      </c>
      <c r="G38" s="330">
        <v>597</v>
      </c>
      <c r="H38" s="252">
        <v>580</v>
      </c>
      <c r="I38" s="321"/>
      <c r="J38" s="330">
        <v>1133</v>
      </c>
      <c r="K38" s="330">
        <v>1165</v>
      </c>
      <c r="L38" s="330">
        <v>1178</v>
      </c>
      <c r="M38" s="285"/>
      <c r="N38" s="195"/>
      <c r="O38" s="391"/>
    </row>
    <row r="39" spans="1:15" ht="18">
      <c r="A39" s="21"/>
      <c r="B39" s="299" t="s">
        <v>72</v>
      </c>
      <c r="C39" s="252">
        <v>552</v>
      </c>
      <c r="D39" s="252">
        <v>664</v>
      </c>
      <c r="E39" s="330">
        <v>593</v>
      </c>
      <c r="F39" s="252">
        <v>685</v>
      </c>
      <c r="G39" s="330">
        <v>603</v>
      </c>
      <c r="H39" s="252">
        <v>730</v>
      </c>
      <c r="I39" s="321"/>
      <c r="J39" s="330">
        <v>1216</v>
      </c>
      <c r="K39" s="330">
        <v>1277</v>
      </c>
      <c r="L39" s="330">
        <v>1333</v>
      </c>
      <c r="M39" s="285"/>
      <c r="N39" s="195"/>
      <c r="O39" s="391"/>
    </row>
    <row r="40" spans="1:15" ht="18">
      <c r="A40" s="21"/>
      <c r="B40" s="299" t="s">
        <v>165</v>
      </c>
      <c r="C40" s="252">
        <v>12</v>
      </c>
      <c r="D40" s="252">
        <v>14</v>
      </c>
      <c r="E40" s="330">
        <v>15</v>
      </c>
      <c r="F40" s="252">
        <v>14</v>
      </c>
      <c r="G40" s="330">
        <v>17</v>
      </c>
      <c r="H40" s="252">
        <v>25</v>
      </c>
      <c r="I40" s="321"/>
      <c r="J40" s="330">
        <v>26</v>
      </c>
      <c r="K40" s="330">
        <v>30</v>
      </c>
      <c r="L40" s="330">
        <v>42</v>
      </c>
      <c r="M40" s="285"/>
      <c r="N40" s="195"/>
      <c r="O40" s="391"/>
    </row>
    <row r="41" spans="1:15" s="3" customFormat="1" ht="18">
      <c r="A41" s="172"/>
      <c r="B41" s="313" t="s">
        <v>10</v>
      </c>
      <c r="C41" s="311">
        <v>1171</v>
      </c>
      <c r="D41" s="311">
        <v>1306</v>
      </c>
      <c r="E41" s="311">
        <v>1259</v>
      </c>
      <c r="F41" s="311">
        <v>1313</v>
      </c>
      <c r="G41" s="311">
        <v>1267</v>
      </c>
      <c r="H41" s="311">
        <v>1389</v>
      </c>
      <c r="I41" s="285"/>
      <c r="J41" s="311">
        <v>2477</v>
      </c>
      <c r="K41" s="311">
        <v>2573</v>
      </c>
      <c r="L41" s="311">
        <v>2656</v>
      </c>
      <c r="M41" s="285"/>
      <c r="N41" s="195"/>
      <c r="O41" s="391"/>
    </row>
    <row r="42" spans="1:15" ht="18">
      <c r="A42" s="40"/>
      <c r="B42" s="251"/>
      <c r="C42" s="253"/>
      <c r="D42" s="253"/>
      <c r="E42" s="253"/>
      <c r="F42" s="253"/>
      <c r="G42" s="253"/>
      <c r="H42" s="253"/>
      <c r="I42" s="250"/>
      <c r="J42" s="253"/>
      <c r="K42" s="253"/>
      <c r="L42" s="253"/>
      <c r="M42" s="285"/>
      <c r="N42" s="150"/>
    </row>
    <row r="43" spans="1:15" ht="18">
      <c r="A43" s="40"/>
      <c r="B43" s="251" t="s">
        <v>166</v>
      </c>
      <c r="C43" s="253"/>
      <c r="D43" s="253"/>
      <c r="E43" s="253"/>
      <c r="F43" s="253"/>
      <c r="G43" s="253"/>
      <c r="H43" s="253"/>
      <c r="I43" s="250"/>
      <c r="J43" s="253"/>
      <c r="K43" s="253"/>
      <c r="L43" s="253"/>
      <c r="M43" s="285"/>
      <c r="N43" s="150"/>
    </row>
    <row r="44" spans="1:15" ht="18">
      <c r="A44" s="40"/>
      <c r="B44" s="251" t="s">
        <v>167</v>
      </c>
      <c r="C44" s="253"/>
      <c r="D44" s="253"/>
      <c r="E44" s="253"/>
      <c r="F44" s="253"/>
      <c r="G44" s="253"/>
      <c r="H44" s="253"/>
      <c r="I44" s="250"/>
      <c r="J44" s="253"/>
      <c r="K44" s="253"/>
      <c r="L44" s="253"/>
      <c r="M44" s="285"/>
      <c r="N44" s="150"/>
    </row>
    <row r="45" spans="1:15" ht="18">
      <c r="A45" s="40"/>
      <c r="B45" s="251" t="s">
        <v>168</v>
      </c>
      <c r="C45" s="276"/>
      <c r="D45" s="276"/>
      <c r="E45" s="276"/>
      <c r="F45" s="276"/>
      <c r="G45" s="276"/>
      <c r="H45" s="276"/>
      <c r="I45" s="312"/>
      <c r="J45" s="261"/>
      <c r="K45" s="261"/>
      <c r="L45" s="261"/>
      <c r="M45" s="261"/>
    </row>
    <row r="46" spans="1:15" ht="18">
      <c r="A46" s="40"/>
      <c r="B46" s="251" t="s">
        <v>169</v>
      </c>
      <c r="C46" s="276"/>
      <c r="D46" s="276"/>
      <c r="E46" s="276"/>
      <c r="F46" s="276"/>
      <c r="G46" s="276"/>
      <c r="H46" s="276"/>
      <c r="I46" s="312"/>
      <c r="J46" s="261"/>
      <c r="K46" s="261"/>
      <c r="L46" s="261"/>
      <c r="M46" s="261"/>
    </row>
    <row r="47" spans="1:15" ht="18">
      <c r="A47" s="40"/>
      <c r="B47" s="12" t="s">
        <v>170</v>
      </c>
      <c r="C47" s="276"/>
      <c r="D47" s="276"/>
      <c r="E47" s="276"/>
      <c r="F47" s="276"/>
      <c r="G47" s="276"/>
      <c r="H47" s="276"/>
      <c r="I47" s="312"/>
      <c r="J47" s="261"/>
      <c r="K47" s="261"/>
      <c r="L47" s="261"/>
      <c r="M47" s="262"/>
    </row>
    <row r="48" spans="1:15" ht="18">
      <c r="A48" s="40"/>
      <c r="B48" s="251" t="s">
        <v>171</v>
      </c>
      <c r="C48" s="276"/>
      <c r="D48" s="276"/>
      <c r="E48" s="276"/>
      <c r="F48" s="276"/>
      <c r="G48" s="276"/>
      <c r="H48" s="276"/>
      <c r="I48" s="312"/>
      <c r="J48" s="261"/>
      <c r="K48" s="261"/>
      <c r="L48" s="261"/>
      <c r="M48" s="70"/>
    </row>
    <row r="49" spans="1:13" ht="18">
      <c r="A49" s="40"/>
      <c r="B49" s="12" t="s">
        <v>94</v>
      </c>
      <c r="C49" s="276"/>
      <c r="D49" s="276"/>
      <c r="E49" s="276"/>
      <c r="F49" s="276"/>
      <c r="G49" s="276"/>
      <c r="H49" s="276"/>
      <c r="I49" s="312"/>
      <c r="J49" s="261"/>
      <c r="K49" s="261"/>
      <c r="L49" s="261"/>
      <c r="M49" s="70"/>
    </row>
    <row r="50" spans="1:13" ht="18">
      <c r="A50" s="40"/>
      <c r="B50" s="251" t="s">
        <v>172</v>
      </c>
      <c r="C50" s="276"/>
      <c r="D50" s="276"/>
      <c r="E50" s="276"/>
      <c r="F50" s="276"/>
      <c r="G50" s="276"/>
      <c r="H50" s="276"/>
      <c r="I50" s="312"/>
      <c r="J50" s="261"/>
      <c r="K50" s="261"/>
      <c r="L50" s="261"/>
      <c r="M50" s="70"/>
    </row>
    <row r="51" spans="1:13" ht="18">
      <c r="A51" s="40"/>
      <c r="B51" s="251" t="s">
        <v>173</v>
      </c>
      <c r="C51" s="276"/>
      <c r="D51" s="276"/>
      <c r="E51" s="276"/>
      <c r="F51" s="276"/>
      <c r="G51" s="276"/>
      <c r="H51" s="276"/>
      <c r="I51" s="312"/>
      <c r="J51" s="261"/>
      <c r="K51" s="261"/>
      <c r="L51" s="261"/>
      <c r="M51" s="70"/>
    </row>
    <row r="52" spans="1:13" ht="18">
      <c r="A52" s="40"/>
      <c r="B52" s="251" t="s">
        <v>174</v>
      </c>
      <c r="C52" s="276"/>
      <c r="D52" s="276"/>
      <c r="E52" s="276"/>
      <c r="F52" s="276"/>
      <c r="G52" s="276"/>
      <c r="H52" s="276"/>
      <c r="I52" s="312"/>
      <c r="J52" s="261"/>
      <c r="K52" s="261"/>
      <c r="L52" s="261"/>
      <c r="M52" s="70"/>
    </row>
    <row r="53" spans="1:13" ht="18">
      <c r="A53" s="40"/>
      <c r="B53" s="251" t="s">
        <v>175</v>
      </c>
      <c r="C53" s="276"/>
      <c r="D53" s="276"/>
      <c r="E53" s="276"/>
      <c r="F53" s="276"/>
      <c r="G53" s="276"/>
      <c r="H53" s="276"/>
      <c r="I53" s="312"/>
      <c r="J53" s="261"/>
      <c r="K53" s="261"/>
      <c r="L53" s="261"/>
      <c r="M53" s="70"/>
    </row>
    <row r="54" spans="1:13" ht="18">
      <c r="A54" s="40"/>
      <c r="B54" s="251" t="s">
        <v>176</v>
      </c>
      <c r="C54" s="276"/>
      <c r="D54" s="276"/>
      <c r="E54" s="276"/>
      <c r="F54" s="276"/>
      <c r="G54" s="276"/>
      <c r="H54" s="276"/>
      <c r="I54" s="312"/>
      <c r="J54" s="261"/>
      <c r="K54" s="261"/>
      <c r="L54" s="261"/>
      <c r="M54" s="70"/>
    </row>
    <row r="55" spans="1:13" ht="18">
      <c r="A55" s="40"/>
      <c r="B55" s="251" t="s">
        <v>177</v>
      </c>
      <c r="C55" s="276"/>
      <c r="D55" s="276"/>
      <c r="E55" s="276"/>
      <c r="F55" s="276"/>
      <c r="G55" s="276"/>
      <c r="H55" s="276"/>
      <c r="I55" s="312"/>
      <c r="J55" s="261"/>
      <c r="K55" s="261"/>
      <c r="L55" s="261"/>
      <c r="M55" s="70"/>
    </row>
    <row r="56" spans="1:13" ht="18">
      <c r="A56" s="40"/>
      <c r="B56" s="251" t="s">
        <v>178</v>
      </c>
      <c r="C56" s="276"/>
      <c r="D56" s="276"/>
      <c r="E56" s="276"/>
      <c r="F56" s="276"/>
      <c r="G56" s="276"/>
      <c r="H56" s="276"/>
      <c r="I56" s="312"/>
      <c r="J56" s="261"/>
      <c r="K56" s="261"/>
      <c r="L56" s="261"/>
      <c r="M56" s="70"/>
    </row>
    <row r="57" spans="1:13" s="12" customFormat="1" ht="18">
      <c r="A57" s="25"/>
      <c r="B57" s="251" t="s">
        <v>179</v>
      </c>
      <c r="C57" s="259"/>
      <c r="D57" s="259"/>
      <c r="E57" s="259"/>
      <c r="F57" s="259"/>
      <c r="G57" s="259"/>
      <c r="H57" s="259"/>
      <c r="I57" s="251"/>
      <c r="J57" s="251"/>
      <c r="K57" s="251"/>
      <c r="L57" s="251"/>
    </row>
    <row r="58" spans="1:13" s="12" customFormat="1" ht="18">
      <c r="A58" s="25"/>
      <c r="B58" s="251" t="s">
        <v>180</v>
      </c>
      <c r="C58" s="134"/>
      <c r="D58" s="134"/>
      <c r="E58" s="134"/>
      <c r="F58" s="134"/>
      <c r="G58" s="134"/>
      <c r="H58" s="134"/>
      <c r="I58" s="40"/>
    </row>
    <row r="59" spans="1:13" s="12" customFormat="1" ht="18">
      <c r="A59" s="25"/>
      <c r="B59" s="251" t="s">
        <v>181</v>
      </c>
      <c r="C59" s="134"/>
      <c r="D59" s="134"/>
      <c r="E59" s="134"/>
      <c r="F59" s="134"/>
      <c r="G59" s="134"/>
      <c r="H59" s="134"/>
      <c r="I59" s="40"/>
    </row>
    <row r="60" spans="1:13" ht="18">
      <c r="B60" s="251" t="s">
        <v>182</v>
      </c>
    </row>
    <row r="61" spans="1:13" ht="18">
      <c r="B61" s="251" t="s">
        <v>275</v>
      </c>
    </row>
  </sheetData>
  <mergeCells count="3">
    <mergeCell ref="C5:D5"/>
    <mergeCell ref="E5:F5"/>
    <mergeCell ref="G5:H5"/>
  </mergeCells>
  <pageMargins left="0.51181102362204722" right="0.51181102362204722" top="0.55118110236220474" bottom="0.55118110236220474" header="0.31496062992125984" footer="0.31496062992125984"/>
  <pageSetup paperSize="9" scale="48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8629-F174-4EB0-8341-9B15D0577DFA}">
  <sheetPr>
    <pageSetUpPr fitToPage="1"/>
  </sheetPr>
  <dimension ref="A1:O48"/>
  <sheetViews>
    <sheetView view="pageBreakPreview" zoomScale="70" zoomScaleNormal="90" zoomScaleSheetLayoutView="70" workbookViewId="0">
      <selection activeCell="B41" sqref="B41"/>
    </sheetView>
  </sheetViews>
  <sheetFormatPr defaultColWidth="9.28515625" defaultRowHeight="16.5"/>
  <cols>
    <col min="1" max="1" width="1.7109375" style="2" customWidth="1"/>
    <col min="2" max="2" width="71.5703125" style="2" customWidth="1"/>
    <col min="3" max="4" width="19.28515625" style="2" hidden="1" customWidth="1"/>
    <col min="5" max="8" width="19.28515625" style="2" customWidth="1"/>
    <col min="9" max="9" width="13" style="2" customWidth="1"/>
    <col min="10" max="10" width="19.7109375" style="2" hidden="1" customWidth="1"/>
    <col min="11" max="11" width="19.140625" style="2" customWidth="1"/>
    <col min="12" max="12" width="20.28515625" style="2" customWidth="1"/>
    <col min="13" max="13" width="9.28515625" style="2" customWidth="1"/>
    <col min="14" max="14" width="12.85546875" style="2" customWidth="1"/>
    <col min="15" max="16384" width="9.28515625" style="2"/>
  </cols>
  <sheetData>
    <row r="1" spans="1:15" ht="21" customHeight="1">
      <c r="A1" s="1" t="s">
        <v>0</v>
      </c>
    </row>
    <row r="2" spans="1:15" ht="8.25" customHeight="1">
      <c r="C2" s="5"/>
      <c r="D2" s="5"/>
      <c r="E2" s="5"/>
      <c r="F2" s="5"/>
      <c r="G2" s="5"/>
      <c r="H2" s="5"/>
    </row>
    <row r="3" spans="1:15" s="70" customFormat="1" ht="18">
      <c r="A3" s="68" t="s">
        <v>113</v>
      </c>
      <c r="B3" s="69"/>
      <c r="C3" s="5"/>
      <c r="D3" s="5"/>
      <c r="E3" s="5"/>
      <c r="F3" s="5"/>
      <c r="G3" s="5"/>
      <c r="H3" s="5"/>
      <c r="I3" s="2"/>
    </row>
    <row r="4" spans="1:15" s="5" customFormat="1" ht="11.25" customHeight="1">
      <c r="A4" s="7"/>
      <c r="B4" s="6"/>
      <c r="C4" s="2"/>
      <c r="D4" s="2"/>
      <c r="E4" s="2"/>
      <c r="F4" s="2"/>
      <c r="G4" s="2"/>
      <c r="H4" s="2"/>
    </row>
    <row r="5" spans="1:15" s="5" customFormat="1" ht="18" customHeight="1">
      <c r="A5" s="128"/>
      <c r="B5" s="126"/>
      <c r="C5" s="579" t="s">
        <v>7</v>
      </c>
      <c r="D5" s="580"/>
      <c r="E5" s="579" t="s">
        <v>2</v>
      </c>
      <c r="F5" s="580"/>
      <c r="G5" s="579" t="s">
        <v>3</v>
      </c>
      <c r="H5" s="580"/>
      <c r="J5" s="205"/>
      <c r="K5" s="244"/>
      <c r="L5" s="190"/>
      <c r="M5" s="70"/>
      <c r="N5" s="70"/>
    </row>
    <row r="6" spans="1:15" s="5" customFormat="1" ht="17.45" hidden="1" customHeight="1">
      <c r="A6" s="129" t="s">
        <v>4</v>
      </c>
      <c r="B6" s="127"/>
      <c r="C6" s="119"/>
      <c r="D6" s="119"/>
      <c r="E6" s="119"/>
      <c r="F6" s="119"/>
      <c r="G6" s="120"/>
      <c r="H6" s="386"/>
      <c r="J6" s="164"/>
      <c r="K6" s="164"/>
      <c r="L6" s="143"/>
    </row>
    <row r="7" spans="1:15" s="5" customFormat="1" ht="18">
      <c r="A7" s="166" t="s">
        <v>4</v>
      </c>
      <c r="B7" s="177"/>
      <c r="C7" s="162" t="s">
        <v>5</v>
      </c>
      <c r="D7" s="162" t="s">
        <v>6</v>
      </c>
      <c r="E7" s="162" t="s">
        <v>5</v>
      </c>
      <c r="F7" s="162" t="s">
        <v>6</v>
      </c>
      <c r="G7" s="178" t="s">
        <v>5</v>
      </c>
      <c r="H7" s="162" t="s">
        <v>6</v>
      </c>
      <c r="J7" s="163" t="s">
        <v>7</v>
      </c>
      <c r="K7" s="163" t="s">
        <v>2</v>
      </c>
      <c r="L7" s="163" t="s">
        <v>3</v>
      </c>
      <c r="M7" s="70"/>
      <c r="N7" s="70"/>
    </row>
    <row r="8" spans="1:15" ht="18">
      <c r="A8" s="11" t="s">
        <v>8</v>
      </c>
      <c r="B8" s="12"/>
      <c r="C8" s="13"/>
      <c r="D8" s="13"/>
      <c r="E8" s="13"/>
      <c r="F8" s="13"/>
      <c r="G8" s="13"/>
      <c r="H8" s="13"/>
      <c r="I8" s="5"/>
      <c r="J8" s="146"/>
      <c r="K8" s="146"/>
      <c r="L8" s="146"/>
      <c r="M8" s="5"/>
      <c r="N8" s="5"/>
    </row>
    <row r="9" spans="1:15" s="3" customFormat="1" ht="18">
      <c r="A9" s="11"/>
      <c r="B9" s="284" t="s">
        <v>9</v>
      </c>
      <c r="C9" s="305">
        <v>180</v>
      </c>
      <c r="D9" s="305">
        <v>203</v>
      </c>
      <c r="E9" s="305">
        <v>203</v>
      </c>
      <c r="F9" s="305">
        <v>211</v>
      </c>
      <c r="G9" s="305">
        <v>219</v>
      </c>
      <c r="H9" s="305">
        <v>215</v>
      </c>
      <c r="I9" s="285"/>
      <c r="J9" s="305">
        <v>383</v>
      </c>
      <c r="K9" s="305">
        <v>413</v>
      </c>
      <c r="L9" s="305">
        <v>434</v>
      </c>
      <c r="M9" s="438"/>
      <c r="N9" s="285"/>
      <c r="O9" s="133"/>
    </row>
    <row r="10" spans="1:15" ht="17.100000000000001" customHeight="1">
      <c r="A10" s="11"/>
      <c r="B10" s="439" t="s">
        <v>10</v>
      </c>
      <c r="C10" s="306">
        <v>-73</v>
      </c>
      <c r="D10" s="306">
        <v>-92</v>
      </c>
      <c r="E10" s="306">
        <v>-93</v>
      </c>
      <c r="F10" s="306">
        <v>-105</v>
      </c>
      <c r="G10" s="306">
        <v>-111</v>
      </c>
      <c r="H10" s="306">
        <v>-123</v>
      </c>
      <c r="I10" s="250"/>
      <c r="J10" s="306">
        <v>-166</v>
      </c>
      <c r="K10" s="306">
        <v>-197</v>
      </c>
      <c r="L10" s="306">
        <v>-234</v>
      </c>
      <c r="M10" s="261"/>
      <c r="N10" s="285"/>
      <c r="O10" s="133"/>
    </row>
    <row r="11" spans="1:15" ht="17.100000000000001" customHeight="1">
      <c r="A11" s="11"/>
      <c r="B11" s="414" t="s">
        <v>11</v>
      </c>
      <c r="C11" s="307">
        <v>107</v>
      </c>
      <c r="D11" s="307">
        <v>110</v>
      </c>
      <c r="E11" s="307">
        <v>110</v>
      </c>
      <c r="F11" s="307">
        <v>106</v>
      </c>
      <c r="G11" s="307">
        <v>109</v>
      </c>
      <c r="H11" s="307">
        <v>92</v>
      </c>
      <c r="I11" s="250"/>
      <c r="J11" s="307">
        <v>217</v>
      </c>
      <c r="K11" s="307">
        <v>216</v>
      </c>
      <c r="L11" s="307">
        <v>200</v>
      </c>
      <c r="M11" s="261"/>
      <c r="N11" s="285"/>
      <c r="O11" s="133"/>
    </row>
    <row r="12" spans="1:15" ht="21">
      <c r="A12" s="11"/>
      <c r="B12" s="439" t="s">
        <v>114</v>
      </c>
      <c r="C12" s="349" t="s">
        <v>49</v>
      </c>
      <c r="D12" s="306">
        <v>11</v>
      </c>
      <c r="E12" s="306">
        <v>2</v>
      </c>
      <c r="F12" s="306">
        <v>1</v>
      </c>
      <c r="G12" s="306">
        <v>2</v>
      </c>
      <c r="H12" s="306">
        <v>9</v>
      </c>
      <c r="I12" s="250"/>
      <c r="J12" s="306">
        <v>11</v>
      </c>
      <c r="K12" s="306">
        <v>3</v>
      </c>
      <c r="L12" s="306">
        <v>11</v>
      </c>
      <c r="M12" s="287"/>
      <c r="N12" s="285"/>
      <c r="O12" s="133"/>
    </row>
    <row r="13" spans="1:15" s="3" customFormat="1" ht="17.100000000000001" customHeight="1">
      <c r="A13" s="11"/>
      <c r="B13" s="440" t="s">
        <v>13</v>
      </c>
      <c r="C13" s="308">
        <v>107</v>
      </c>
      <c r="D13" s="308">
        <v>121</v>
      </c>
      <c r="E13" s="308">
        <v>112</v>
      </c>
      <c r="F13" s="308">
        <v>107</v>
      </c>
      <c r="G13" s="308">
        <v>111</v>
      </c>
      <c r="H13" s="308">
        <v>101</v>
      </c>
      <c r="I13" s="285"/>
      <c r="J13" s="308">
        <v>228</v>
      </c>
      <c r="K13" s="308">
        <v>219</v>
      </c>
      <c r="L13" s="308">
        <v>212</v>
      </c>
      <c r="M13" s="287"/>
      <c r="N13" s="285"/>
      <c r="O13" s="133"/>
    </row>
    <row r="14" spans="1:15" s="89" customFormat="1" ht="18.75">
      <c r="A14" s="90"/>
      <c r="B14" s="440" t="s">
        <v>54</v>
      </c>
      <c r="C14" s="384">
        <v>0.59499999999999997</v>
      </c>
      <c r="D14" s="384">
        <v>0.59699999999999998</v>
      </c>
      <c r="E14" s="117">
        <f>55.3%+0.1%</f>
        <v>0.55399999999999994</v>
      </c>
      <c r="F14" s="384">
        <v>0.50600000000000001</v>
      </c>
      <c r="G14" s="384">
        <v>0.505</v>
      </c>
      <c r="H14" s="384">
        <v>0.46899999999999997</v>
      </c>
      <c r="I14" s="441"/>
      <c r="J14" s="384">
        <v>0.59599999999999997</v>
      </c>
      <c r="K14" s="384">
        <v>0.52900000000000003</v>
      </c>
      <c r="L14" s="384">
        <v>0.48699999999999999</v>
      </c>
      <c r="M14" s="442"/>
      <c r="N14" s="285"/>
      <c r="O14" s="133"/>
    </row>
    <row r="15" spans="1:15" s="89" customFormat="1" ht="18.75">
      <c r="A15" s="90"/>
      <c r="B15" s="251" t="s">
        <v>19</v>
      </c>
      <c r="C15" s="252">
        <v>-76</v>
      </c>
      <c r="D15" s="252">
        <v>-80</v>
      </c>
      <c r="E15" s="252">
        <v>-73</v>
      </c>
      <c r="F15" s="252">
        <v>-74</v>
      </c>
      <c r="G15" s="252">
        <v>-72</v>
      </c>
      <c r="H15" s="252">
        <v>-74</v>
      </c>
      <c r="I15" s="250"/>
      <c r="J15" s="252">
        <v>-155</v>
      </c>
      <c r="K15" s="252">
        <v>-147</v>
      </c>
      <c r="L15" s="252">
        <v>-146</v>
      </c>
      <c r="M15" s="442"/>
      <c r="N15" s="285"/>
      <c r="O15" s="133"/>
    </row>
    <row r="16" spans="1:15" s="3" customFormat="1" ht="18">
      <c r="A16" s="54"/>
      <c r="B16" s="286" t="s">
        <v>55</v>
      </c>
      <c r="C16" s="309">
        <v>32</v>
      </c>
      <c r="D16" s="309">
        <v>41</v>
      </c>
      <c r="E16" s="309">
        <v>39</v>
      </c>
      <c r="F16" s="309">
        <v>33</v>
      </c>
      <c r="G16" s="309">
        <v>39</v>
      </c>
      <c r="H16" s="309">
        <v>26</v>
      </c>
      <c r="I16" s="250"/>
      <c r="J16" s="309">
        <v>73</v>
      </c>
      <c r="K16" s="309">
        <v>72</v>
      </c>
      <c r="L16" s="309">
        <v>65</v>
      </c>
      <c r="M16" s="287"/>
      <c r="N16" s="285"/>
      <c r="O16" s="133"/>
    </row>
    <row r="17" spans="1:15" s="3" customFormat="1" ht="18">
      <c r="A17" s="291"/>
      <c r="B17" s="284"/>
      <c r="C17" s="283"/>
      <c r="D17" s="283"/>
      <c r="E17" s="283"/>
      <c r="F17" s="283"/>
      <c r="G17" s="283"/>
      <c r="H17" s="283"/>
      <c r="I17" s="250"/>
      <c r="J17" s="283"/>
      <c r="K17" s="283"/>
      <c r="L17" s="283"/>
      <c r="M17" s="287"/>
      <c r="N17" s="285"/>
      <c r="O17" s="133"/>
    </row>
    <row r="18" spans="1:15" s="3" customFormat="1" ht="18">
      <c r="A18" s="292" t="s">
        <v>115</v>
      </c>
      <c r="B18" s="293"/>
      <c r="C18" s="294"/>
      <c r="D18" s="288"/>
      <c r="E18" s="288"/>
      <c r="F18" s="288"/>
      <c r="G18" s="288"/>
      <c r="H18" s="288"/>
      <c r="I18" s="250"/>
      <c r="J18" s="443"/>
      <c r="K18" s="294"/>
      <c r="L18" s="288"/>
      <c r="M18" s="287"/>
      <c r="N18" s="285"/>
      <c r="O18" s="133"/>
    </row>
    <row r="19" spans="1:15" s="3" customFormat="1" ht="21">
      <c r="A19" s="295"/>
      <c r="B19" s="359" t="s">
        <v>116</v>
      </c>
      <c r="C19" s="278">
        <v>132</v>
      </c>
      <c r="D19" s="350">
        <v>140</v>
      </c>
      <c r="E19" s="350">
        <v>144</v>
      </c>
      <c r="F19" s="350">
        <v>155</v>
      </c>
      <c r="G19" s="350">
        <v>169</v>
      </c>
      <c r="H19" s="350">
        <v>157</v>
      </c>
      <c r="I19" s="250"/>
      <c r="J19" s="444">
        <v>273</v>
      </c>
      <c r="K19" s="278">
        <v>299</v>
      </c>
      <c r="L19" s="350">
        <v>327</v>
      </c>
      <c r="M19" s="287"/>
      <c r="N19" s="285"/>
      <c r="O19" s="133"/>
    </row>
    <row r="20" spans="1:15" s="3" customFormat="1" ht="18">
      <c r="A20" s="295"/>
      <c r="B20" s="289" t="s">
        <v>13</v>
      </c>
      <c r="C20" s="278">
        <v>86</v>
      </c>
      <c r="D20" s="350">
        <v>87</v>
      </c>
      <c r="E20" s="350">
        <v>82</v>
      </c>
      <c r="F20" s="350">
        <v>80</v>
      </c>
      <c r="G20" s="350">
        <v>92</v>
      </c>
      <c r="H20" s="350">
        <v>73</v>
      </c>
      <c r="I20" s="250"/>
      <c r="J20" s="444">
        <v>172</v>
      </c>
      <c r="K20" s="278">
        <v>163</v>
      </c>
      <c r="L20" s="350">
        <v>165</v>
      </c>
      <c r="M20" s="287"/>
      <c r="N20" s="285"/>
      <c r="O20" s="133"/>
    </row>
    <row r="21" spans="1:15" s="3" customFormat="1" ht="18.75">
      <c r="A21" s="295"/>
      <c r="B21" s="289" t="s">
        <v>54</v>
      </c>
      <c r="C21" s="385">
        <v>0.64700000000000002</v>
      </c>
      <c r="D21" s="389">
        <v>0.61799999999999999</v>
      </c>
      <c r="E21" s="389">
        <v>0.57099999999999995</v>
      </c>
      <c r="F21" s="389">
        <v>0.51700000000000002</v>
      </c>
      <c r="G21" s="389">
        <v>0.54100000000000004</v>
      </c>
      <c r="H21" s="389">
        <v>0.46600000000000003</v>
      </c>
      <c r="I21" s="250"/>
      <c r="J21" s="445">
        <v>0.63200000000000001</v>
      </c>
      <c r="K21" s="446">
        <v>0.54300000000000004</v>
      </c>
      <c r="L21" s="389">
        <v>0.505</v>
      </c>
      <c r="M21" s="287"/>
      <c r="N21" s="285"/>
      <c r="O21" s="133"/>
    </row>
    <row r="22" spans="1:15" s="3" customFormat="1" ht="18">
      <c r="A22" s="296"/>
      <c r="B22" s="297" t="s">
        <v>55</v>
      </c>
      <c r="C22" s="352">
        <v>29</v>
      </c>
      <c r="D22" s="353">
        <v>28</v>
      </c>
      <c r="E22" s="353">
        <v>23</v>
      </c>
      <c r="F22" s="353">
        <v>20</v>
      </c>
      <c r="G22" s="353">
        <v>33</v>
      </c>
      <c r="H22" s="353">
        <v>15</v>
      </c>
      <c r="I22" s="250"/>
      <c r="J22" s="447">
        <v>57</v>
      </c>
      <c r="K22" s="271">
        <v>43</v>
      </c>
      <c r="L22" s="353">
        <v>48</v>
      </c>
      <c r="M22" s="287"/>
      <c r="N22" s="285"/>
      <c r="O22" s="133"/>
    </row>
    <row r="23" spans="1:15" s="3" customFormat="1" ht="18">
      <c r="A23" s="291"/>
      <c r="B23" s="284"/>
      <c r="C23" s="283"/>
      <c r="D23" s="283"/>
      <c r="E23" s="283"/>
      <c r="F23" s="283"/>
      <c r="G23" s="283"/>
      <c r="H23" s="283"/>
      <c r="I23" s="250"/>
      <c r="J23" s="283"/>
      <c r="K23" s="305"/>
      <c r="L23" s="283"/>
      <c r="M23" s="287"/>
      <c r="N23" s="285"/>
      <c r="O23" s="133"/>
    </row>
    <row r="24" spans="1:15" s="3" customFormat="1" ht="18">
      <c r="A24" s="292" t="s">
        <v>117</v>
      </c>
      <c r="B24" s="293"/>
      <c r="C24" s="288"/>
      <c r="D24" s="288"/>
      <c r="E24" s="288"/>
      <c r="F24" s="288"/>
      <c r="G24" s="288"/>
      <c r="H24" s="288"/>
      <c r="I24" s="250"/>
      <c r="J24" s="443"/>
      <c r="K24" s="294"/>
      <c r="L24" s="288"/>
      <c r="M24" s="287"/>
      <c r="N24" s="285"/>
      <c r="O24" s="133"/>
    </row>
    <row r="25" spans="1:15" s="3" customFormat="1" ht="21">
      <c r="A25" s="295"/>
      <c r="B25" s="359" t="s">
        <v>118</v>
      </c>
      <c r="C25" s="350">
        <v>132</v>
      </c>
      <c r="D25" s="350">
        <v>140</v>
      </c>
      <c r="E25" s="350">
        <v>144</v>
      </c>
      <c r="F25" s="350">
        <v>155</v>
      </c>
      <c r="G25" s="350">
        <v>169</v>
      </c>
      <c r="H25" s="350">
        <v>157</v>
      </c>
      <c r="I25" s="250"/>
      <c r="J25" s="444">
        <v>273</v>
      </c>
      <c r="K25" s="278">
        <v>299</v>
      </c>
      <c r="L25" s="350">
        <v>327</v>
      </c>
      <c r="M25" s="287"/>
      <c r="N25" s="285"/>
      <c r="O25" s="133"/>
    </row>
    <row r="26" spans="1:15" s="3" customFormat="1" ht="18.75" thickBot="1">
      <c r="A26" s="295"/>
      <c r="B26" s="289" t="s">
        <v>119</v>
      </c>
      <c r="C26" s="350">
        <v>48</v>
      </c>
      <c r="D26" s="350">
        <v>62</v>
      </c>
      <c r="E26" s="350">
        <v>59</v>
      </c>
      <c r="F26" s="350">
        <v>55</v>
      </c>
      <c r="G26" s="350">
        <v>50</v>
      </c>
      <c r="H26" s="350">
        <v>58</v>
      </c>
      <c r="I26" s="250"/>
      <c r="J26" s="444">
        <v>110</v>
      </c>
      <c r="K26" s="278">
        <v>114</v>
      </c>
      <c r="L26" s="350">
        <v>108</v>
      </c>
      <c r="M26" s="287"/>
      <c r="N26" s="285"/>
      <c r="O26" s="133"/>
    </row>
    <row r="27" spans="1:15" ht="18.75" thickBot="1">
      <c r="A27" s="298"/>
      <c r="B27" s="299"/>
      <c r="C27" s="354">
        <v>180</v>
      </c>
      <c r="D27" s="354">
        <v>203</v>
      </c>
      <c r="E27" s="354">
        <v>203</v>
      </c>
      <c r="F27" s="354">
        <v>211</v>
      </c>
      <c r="G27" s="354">
        <v>219</v>
      </c>
      <c r="H27" s="354">
        <v>215</v>
      </c>
      <c r="I27" s="250"/>
      <c r="J27" s="448">
        <v>383</v>
      </c>
      <c r="K27" s="449">
        <v>413</v>
      </c>
      <c r="L27" s="354">
        <v>434</v>
      </c>
      <c r="M27" s="261"/>
      <c r="N27" s="285"/>
      <c r="O27" s="133"/>
    </row>
    <row r="28" spans="1:15" ht="18">
      <c r="A28" s="298"/>
      <c r="B28" s="299"/>
      <c r="C28" s="355"/>
      <c r="D28" s="355"/>
      <c r="E28" s="355"/>
      <c r="F28" s="355"/>
      <c r="G28" s="355"/>
      <c r="H28" s="355"/>
      <c r="I28" s="250"/>
      <c r="J28" s="450"/>
      <c r="K28" s="279"/>
      <c r="L28" s="355"/>
      <c r="M28" s="261"/>
      <c r="N28" s="285"/>
      <c r="O28" s="133"/>
    </row>
    <row r="29" spans="1:15" ht="18">
      <c r="A29" s="295" t="s">
        <v>120</v>
      </c>
      <c r="B29" s="300"/>
      <c r="C29" s="356"/>
      <c r="D29" s="356"/>
      <c r="E29" s="356"/>
      <c r="F29" s="356"/>
      <c r="G29" s="356"/>
      <c r="H29" s="356"/>
      <c r="I29" s="250"/>
      <c r="J29" s="451"/>
      <c r="K29" s="248"/>
      <c r="L29" s="356"/>
      <c r="M29" s="261"/>
      <c r="N29" s="285"/>
      <c r="O29" s="133"/>
    </row>
    <row r="30" spans="1:15" ht="18">
      <c r="A30" s="295"/>
      <c r="B30" s="299" t="s">
        <v>121</v>
      </c>
      <c r="C30" s="350">
        <v>33</v>
      </c>
      <c r="D30" s="350">
        <v>32</v>
      </c>
      <c r="E30" s="350">
        <v>32</v>
      </c>
      <c r="F30" s="350">
        <v>42</v>
      </c>
      <c r="G30" s="350">
        <v>45</v>
      </c>
      <c r="H30" s="350">
        <v>43</v>
      </c>
      <c r="I30" s="250"/>
      <c r="J30" s="452">
        <v>65</v>
      </c>
      <c r="K30" s="278">
        <v>74</v>
      </c>
      <c r="L30" s="350">
        <v>89</v>
      </c>
      <c r="M30" s="261"/>
      <c r="N30" s="285"/>
      <c r="O30" s="133"/>
    </row>
    <row r="31" spans="1:15" ht="18">
      <c r="A31" s="298"/>
      <c r="B31" s="289" t="s">
        <v>41</v>
      </c>
      <c r="C31" s="357">
        <v>11</v>
      </c>
      <c r="D31" s="357">
        <v>15</v>
      </c>
      <c r="E31" s="357">
        <v>19</v>
      </c>
      <c r="F31" s="357">
        <v>24</v>
      </c>
      <c r="G31" s="357">
        <v>26</v>
      </c>
      <c r="H31" s="357">
        <v>28</v>
      </c>
      <c r="I31" s="250"/>
      <c r="J31" s="453">
        <v>26</v>
      </c>
      <c r="K31" s="252">
        <v>42</v>
      </c>
      <c r="L31" s="357">
        <v>54</v>
      </c>
      <c r="M31" s="261"/>
      <c r="N31" s="285"/>
      <c r="O31" s="133"/>
    </row>
    <row r="32" spans="1:15" ht="18">
      <c r="A32" s="298"/>
      <c r="B32" s="359" t="s">
        <v>122</v>
      </c>
      <c r="C32" s="357">
        <v>12</v>
      </c>
      <c r="D32" s="357">
        <v>18</v>
      </c>
      <c r="E32" s="357">
        <v>24</v>
      </c>
      <c r="F32" s="357">
        <v>22</v>
      </c>
      <c r="G32" s="357">
        <v>24</v>
      </c>
      <c r="H32" s="357">
        <v>33</v>
      </c>
      <c r="I32" s="250"/>
      <c r="J32" s="453">
        <v>30</v>
      </c>
      <c r="K32" s="252">
        <v>47</v>
      </c>
      <c r="L32" s="357">
        <v>57</v>
      </c>
      <c r="M32" s="261"/>
      <c r="N32" s="285"/>
      <c r="O32" s="133"/>
    </row>
    <row r="33" spans="1:15" ht="18">
      <c r="A33" s="298"/>
      <c r="B33" s="299" t="s">
        <v>71</v>
      </c>
      <c r="C33" s="357">
        <v>12</v>
      </c>
      <c r="D33" s="357">
        <v>11</v>
      </c>
      <c r="E33" s="357">
        <v>10</v>
      </c>
      <c r="F33" s="357">
        <v>10</v>
      </c>
      <c r="G33" s="357">
        <v>9</v>
      </c>
      <c r="H33" s="357">
        <v>10</v>
      </c>
      <c r="I33" s="250"/>
      <c r="J33" s="453">
        <v>23</v>
      </c>
      <c r="K33" s="252">
        <v>20</v>
      </c>
      <c r="L33" s="357">
        <v>20</v>
      </c>
      <c r="M33" s="261"/>
      <c r="N33" s="285"/>
      <c r="O33" s="133"/>
    </row>
    <row r="34" spans="1:15" ht="18.75" thickBot="1">
      <c r="A34" s="298"/>
      <c r="B34" s="299" t="s">
        <v>37</v>
      </c>
      <c r="C34" s="357">
        <v>5</v>
      </c>
      <c r="D34" s="357">
        <v>17</v>
      </c>
      <c r="E34" s="357">
        <v>8</v>
      </c>
      <c r="F34" s="357">
        <v>7</v>
      </c>
      <c r="G34" s="357">
        <v>7</v>
      </c>
      <c r="H34" s="357">
        <v>8</v>
      </c>
      <c r="I34" s="250"/>
      <c r="J34" s="453">
        <v>22</v>
      </c>
      <c r="K34" s="252">
        <v>14</v>
      </c>
      <c r="L34" s="357">
        <v>15</v>
      </c>
      <c r="M34" s="261"/>
      <c r="N34" s="285"/>
      <c r="O34" s="133"/>
    </row>
    <row r="35" spans="1:15" ht="18">
      <c r="A35" s="301"/>
      <c r="B35" s="383"/>
      <c r="C35" s="358">
        <v>73</v>
      </c>
      <c r="D35" s="358">
        <v>92</v>
      </c>
      <c r="E35" s="358">
        <v>93</v>
      </c>
      <c r="F35" s="358">
        <v>105</v>
      </c>
      <c r="G35" s="358">
        <v>111</v>
      </c>
      <c r="H35" s="358">
        <v>123</v>
      </c>
      <c r="I35" s="250"/>
      <c r="J35" s="454">
        <v>166</v>
      </c>
      <c r="K35" s="437">
        <v>197</v>
      </c>
      <c r="L35" s="358">
        <v>234</v>
      </c>
      <c r="M35" s="261"/>
      <c r="N35" s="285"/>
      <c r="O35" s="133"/>
    </row>
    <row r="36" spans="1:15" ht="18">
      <c r="A36" s="251"/>
      <c r="B36" s="251"/>
      <c r="C36" s="276"/>
      <c r="D36" s="276"/>
      <c r="E36" s="276"/>
      <c r="F36" s="276"/>
      <c r="G36" s="276"/>
      <c r="H36" s="276"/>
      <c r="I36" s="250"/>
      <c r="J36" s="276"/>
      <c r="K36" s="276"/>
      <c r="L36" s="276"/>
      <c r="M36" s="261"/>
      <c r="N36" s="261"/>
    </row>
    <row r="37" spans="1:15" s="40" customFormat="1" ht="18">
      <c r="A37" s="302"/>
      <c r="B37" s="455" t="s">
        <v>123</v>
      </c>
      <c r="C37" s="259"/>
      <c r="D37" s="259"/>
      <c r="E37" s="259"/>
      <c r="F37" s="259"/>
      <c r="G37" s="259"/>
      <c r="H37" s="259"/>
      <c r="I37" s="251"/>
      <c r="J37" s="251"/>
      <c r="K37" s="251"/>
      <c r="L37" s="251"/>
      <c r="M37" s="251"/>
      <c r="N37" s="251"/>
    </row>
    <row r="38" spans="1:15" s="40" customFormat="1" ht="24" customHeight="1">
      <c r="A38" s="251"/>
      <c r="B38" s="455" t="s">
        <v>124</v>
      </c>
      <c r="C38" s="251"/>
      <c r="D38" s="259"/>
      <c r="E38" s="259"/>
      <c r="F38" s="259"/>
      <c r="G38" s="259"/>
      <c r="H38" s="259"/>
      <c r="I38" s="251"/>
      <c r="J38" s="251"/>
      <c r="K38" s="251"/>
      <c r="L38" s="251"/>
      <c r="M38" s="251"/>
      <c r="N38" s="251"/>
    </row>
    <row r="39" spans="1:15" s="40" customFormat="1" ht="18">
      <c r="A39" s="251"/>
      <c r="B39" s="455" t="s">
        <v>125</v>
      </c>
      <c r="C39" s="251"/>
      <c r="D39" s="259"/>
      <c r="E39" s="259"/>
      <c r="F39" s="259"/>
      <c r="G39" s="259"/>
      <c r="H39" s="259"/>
      <c r="I39" s="251"/>
      <c r="J39" s="251"/>
      <c r="K39" s="251"/>
      <c r="L39" s="251"/>
      <c r="M39" s="251"/>
      <c r="N39" s="251"/>
    </row>
    <row r="40" spans="1:15" s="12" customFormat="1" ht="18">
      <c r="A40" s="251"/>
      <c r="B40" s="12" t="s">
        <v>126</v>
      </c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</row>
    <row r="41" spans="1:15" s="12" customFormat="1" ht="18">
      <c r="A41" s="251"/>
      <c r="B41" s="251" t="s">
        <v>127</v>
      </c>
      <c r="C41" s="251"/>
      <c r="D41" s="251"/>
      <c r="E41" s="251"/>
      <c r="F41" s="251"/>
      <c r="G41" s="251"/>
      <c r="H41" s="251"/>
      <c r="I41" s="251"/>
      <c r="J41" s="407"/>
      <c r="K41" s="407"/>
      <c r="L41" s="407"/>
      <c r="M41" s="251"/>
      <c r="N41" s="251"/>
    </row>
    <row r="42" spans="1:15" ht="18">
      <c r="A42" s="261"/>
      <c r="B42" s="455" t="s">
        <v>128</v>
      </c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</row>
    <row r="43" spans="1:15" ht="18">
      <c r="B43" s="25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</row>
    <row r="44" spans="1:15"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</row>
    <row r="45" spans="1:15"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</row>
    <row r="46" spans="1:15">
      <c r="B46" s="261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</row>
    <row r="47" spans="1:15">
      <c r="B47" s="261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</row>
    <row r="48" spans="1:15"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</row>
  </sheetData>
  <mergeCells count="3">
    <mergeCell ref="C5:D5"/>
    <mergeCell ref="E5:F5"/>
    <mergeCell ref="G5:H5"/>
  </mergeCells>
  <pageMargins left="0.70866141732283505" right="0.70866141732283505" top="0.74803149606299202" bottom="0.74803149606299202" header="0.31496062992126" footer="0.31496062992126"/>
  <pageSetup paperSize="9" scale="65" orientation="landscape" r:id="rId1"/>
  <colBreaks count="1" manualBreakCount="1">
    <brk id="8" max="1048575" man="1"/>
  </colBreaks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M48"/>
  <sheetViews>
    <sheetView view="pageBreakPreview" topLeftCell="A16" zoomScale="60" zoomScaleNormal="70" workbookViewId="0">
      <selection activeCell="S67" sqref="S67"/>
    </sheetView>
  </sheetViews>
  <sheetFormatPr defaultColWidth="9.28515625" defaultRowHeight="16.5"/>
  <cols>
    <col min="1" max="1" width="1.7109375" style="2" customWidth="1"/>
    <col min="2" max="2" width="71.5703125" style="2" customWidth="1"/>
    <col min="3" max="5" width="19.28515625" style="2" customWidth="1"/>
    <col min="6" max="6" width="13" style="2" bestFit="1" customWidth="1"/>
    <col min="7" max="8" width="16.28515625" style="2" customWidth="1"/>
    <col min="9" max="9" width="9.28515625" style="2"/>
    <col min="10" max="10" width="12.85546875" style="2" customWidth="1"/>
    <col min="11" max="16384" width="9.28515625" style="2"/>
  </cols>
  <sheetData>
    <row r="1" spans="1:11" ht="21" customHeight="1">
      <c r="A1" s="1" t="s">
        <v>0</v>
      </c>
    </row>
    <row r="2" spans="1:11" ht="8.25" customHeight="1">
      <c r="C2" s="5"/>
      <c r="D2" s="5"/>
      <c r="E2" s="5"/>
    </row>
    <row r="3" spans="1:11" s="70" customFormat="1" ht="18">
      <c r="A3" s="68" t="s">
        <v>129</v>
      </c>
      <c r="B3" s="69"/>
      <c r="C3" s="5"/>
      <c r="D3" s="5"/>
      <c r="E3" s="5"/>
      <c r="F3" s="2"/>
    </row>
    <row r="4" spans="1:11" s="5" customFormat="1" ht="11.25" customHeight="1">
      <c r="A4" s="7"/>
      <c r="B4" s="6"/>
      <c r="C4" s="2"/>
      <c r="D4" s="2"/>
      <c r="E4" s="2"/>
    </row>
    <row r="5" spans="1:11" s="5" customFormat="1" ht="18" customHeight="1">
      <c r="A5" s="128"/>
      <c r="B5" s="126"/>
      <c r="C5" s="579" t="s">
        <v>7</v>
      </c>
      <c r="D5" s="580"/>
      <c r="E5" s="243" t="s">
        <v>2</v>
      </c>
      <c r="G5" s="205"/>
      <c r="H5" s="244" t="s">
        <v>97</v>
      </c>
      <c r="I5" s="70"/>
      <c r="J5" s="70"/>
    </row>
    <row r="6" spans="1:11" s="5" customFormat="1" ht="17.45" hidden="1" customHeight="1">
      <c r="A6" s="129" t="s">
        <v>4</v>
      </c>
      <c r="B6" s="127"/>
      <c r="C6" s="119"/>
      <c r="D6" s="119"/>
      <c r="E6" s="119"/>
      <c r="G6" s="164"/>
      <c r="H6" s="143"/>
    </row>
    <row r="7" spans="1:11" s="5" customFormat="1" ht="18">
      <c r="A7" s="166" t="s">
        <v>4</v>
      </c>
      <c r="B7" s="177"/>
      <c r="C7" s="162" t="s">
        <v>5</v>
      </c>
      <c r="D7" s="162" t="s">
        <v>6</v>
      </c>
      <c r="E7" s="162" t="s">
        <v>5</v>
      </c>
      <c r="G7" s="163" t="s">
        <v>7</v>
      </c>
      <c r="H7" s="138" t="s">
        <v>7</v>
      </c>
      <c r="I7" s="70"/>
      <c r="J7" s="70"/>
    </row>
    <row r="8" spans="1:11" ht="18">
      <c r="A8" s="11" t="s">
        <v>8</v>
      </c>
      <c r="B8" s="12"/>
      <c r="C8" s="13"/>
      <c r="D8" s="13"/>
      <c r="E8" s="13"/>
      <c r="F8" s="5"/>
      <c r="G8" s="146"/>
      <c r="H8" s="146"/>
      <c r="I8" s="5"/>
      <c r="J8" s="5"/>
    </row>
    <row r="9" spans="1:11" s="3" customFormat="1" ht="18">
      <c r="A9" s="11"/>
      <c r="B9" s="8" t="s">
        <v>9</v>
      </c>
      <c r="C9" s="56">
        <v>1264</v>
      </c>
      <c r="D9" s="56">
        <v>1292</v>
      </c>
      <c r="E9" s="56"/>
      <c r="F9" s="155"/>
      <c r="G9" s="56">
        <v>2556</v>
      </c>
      <c r="H9" s="56"/>
      <c r="I9" s="74"/>
      <c r="J9" s="133"/>
      <c r="K9" s="150"/>
    </row>
    <row r="10" spans="1:11" ht="17.100000000000001" customHeight="1">
      <c r="A10" s="11"/>
      <c r="B10" s="160" t="s">
        <v>10</v>
      </c>
      <c r="C10" s="115">
        <v>-727</v>
      </c>
      <c r="D10" s="115">
        <v>-744</v>
      </c>
      <c r="E10" s="115"/>
      <c r="F10" s="156"/>
      <c r="G10" s="115">
        <v>-1472</v>
      </c>
      <c r="H10" s="115"/>
      <c r="J10" s="133"/>
      <c r="K10" s="150"/>
    </row>
    <row r="11" spans="1:11" ht="17.100000000000001" customHeight="1">
      <c r="A11" s="11"/>
      <c r="B11" s="79" t="s">
        <v>11</v>
      </c>
      <c r="C11" s="116">
        <v>537</v>
      </c>
      <c r="D11" s="116">
        <v>547</v>
      </c>
      <c r="E11" s="116"/>
      <c r="F11" s="156"/>
      <c r="G11" s="116">
        <v>1084</v>
      </c>
      <c r="H11" s="116"/>
      <c r="J11" s="133"/>
      <c r="K11" s="150"/>
    </row>
    <row r="12" spans="1:11" ht="21">
      <c r="A12" s="11"/>
      <c r="B12" s="160" t="s">
        <v>130</v>
      </c>
      <c r="C12" s="115">
        <v>7</v>
      </c>
      <c r="D12" s="115">
        <v>4</v>
      </c>
      <c r="E12" s="115"/>
      <c r="F12" s="156"/>
      <c r="G12" s="115">
        <v>11</v>
      </c>
      <c r="H12" s="115"/>
      <c r="I12" s="3"/>
      <c r="J12" s="133"/>
      <c r="K12" s="150"/>
    </row>
    <row r="13" spans="1:11" s="3" customFormat="1" ht="17.100000000000001" customHeight="1">
      <c r="A13" s="11"/>
      <c r="B13" s="75" t="s">
        <v>13</v>
      </c>
      <c r="C13" s="105">
        <v>544</v>
      </c>
      <c r="D13" s="105">
        <v>551</v>
      </c>
      <c r="E13" s="105"/>
      <c r="F13" s="155"/>
      <c r="G13" s="105">
        <v>1095</v>
      </c>
      <c r="H13" s="105"/>
      <c r="J13" s="133"/>
      <c r="K13" s="150"/>
    </row>
    <row r="14" spans="1:11" s="89" customFormat="1" ht="18.75">
      <c r="A14" s="90"/>
      <c r="B14" s="75" t="s">
        <v>54</v>
      </c>
      <c r="C14" s="117">
        <v>0.43</v>
      </c>
      <c r="D14" s="117">
        <v>0.42699999999999999</v>
      </c>
      <c r="E14" s="117"/>
      <c r="F14" s="152"/>
      <c r="G14" s="117">
        <v>0.42799999999999999</v>
      </c>
      <c r="H14" s="117"/>
      <c r="J14" s="133"/>
    </row>
    <row r="15" spans="1:11" s="89" customFormat="1" ht="18.75">
      <c r="A15" s="90"/>
      <c r="B15" s="12" t="s">
        <v>19</v>
      </c>
      <c r="C15" s="42">
        <v>-183</v>
      </c>
      <c r="D15" s="42">
        <v>-198</v>
      </c>
      <c r="E15" s="42"/>
      <c r="F15" s="156"/>
      <c r="G15" s="42">
        <v>-381</v>
      </c>
      <c r="H15" s="42"/>
      <c r="J15" s="133"/>
    </row>
    <row r="16" spans="1:11" s="3" customFormat="1" ht="18">
      <c r="A16" s="54"/>
      <c r="B16" s="171" t="s">
        <v>55</v>
      </c>
      <c r="C16" s="196">
        <v>361</v>
      </c>
      <c r="D16" s="196">
        <v>353</v>
      </c>
      <c r="E16" s="196"/>
      <c r="F16" s="156"/>
      <c r="G16" s="196">
        <v>714</v>
      </c>
      <c r="H16" s="196"/>
      <c r="J16" s="133"/>
      <c r="K16" s="150"/>
    </row>
    <row r="17" spans="1:13" s="3" customFormat="1" ht="18">
      <c r="A17" s="175"/>
      <c r="B17" s="15"/>
      <c r="C17" s="52"/>
      <c r="D17" s="52"/>
      <c r="E17" s="52"/>
      <c r="F17" s="156"/>
      <c r="G17" s="52"/>
      <c r="H17" s="52"/>
      <c r="J17" s="133"/>
    </row>
    <row r="18" spans="1:13" s="3" customFormat="1" ht="18">
      <c r="A18" s="170" t="s">
        <v>131</v>
      </c>
      <c r="B18" s="239"/>
      <c r="C18" s="17"/>
      <c r="D18" s="225"/>
      <c r="E18" s="225"/>
      <c r="F18" s="156"/>
      <c r="G18" s="17"/>
      <c r="H18" s="225"/>
    </row>
    <row r="19" spans="1:13" s="3" customFormat="1" ht="21">
      <c r="A19" s="18"/>
      <c r="B19" s="82" t="s">
        <v>132</v>
      </c>
      <c r="C19" s="47">
        <v>264</v>
      </c>
      <c r="D19" s="201">
        <v>256</v>
      </c>
      <c r="E19" s="201"/>
      <c r="F19" s="156"/>
      <c r="G19" s="47">
        <v>521</v>
      </c>
      <c r="H19" s="201"/>
      <c r="J19" s="133"/>
      <c r="K19" s="150"/>
    </row>
    <row r="20" spans="1:13" s="3" customFormat="1" ht="18">
      <c r="A20" s="18"/>
      <c r="B20" s="82" t="s">
        <v>133</v>
      </c>
      <c r="C20" s="47">
        <v>52</v>
      </c>
      <c r="D20" s="201">
        <v>46</v>
      </c>
      <c r="E20" s="201"/>
      <c r="F20" s="156"/>
      <c r="G20" s="47">
        <v>99</v>
      </c>
      <c r="H20" s="201"/>
      <c r="J20" s="133"/>
      <c r="K20" s="150"/>
    </row>
    <row r="21" spans="1:13" s="3" customFormat="1" ht="18">
      <c r="A21" s="18"/>
      <c r="B21" s="92" t="s">
        <v>134</v>
      </c>
      <c r="C21" s="44">
        <v>317</v>
      </c>
      <c r="D21" s="114">
        <v>303</v>
      </c>
      <c r="E21" s="114"/>
      <c r="F21" s="155"/>
      <c r="G21" s="44">
        <v>619</v>
      </c>
      <c r="H21" s="114"/>
      <c r="J21" s="133"/>
      <c r="K21" s="150"/>
      <c r="L21" s="194"/>
      <c r="M21" s="194"/>
    </row>
    <row r="22" spans="1:13" s="89" customFormat="1" ht="18.75">
      <c r="A22" s="96"/>
      <c r="B22" s="94" t="s">
        <v>135</v>
      </c>
      <c r="C22" s="197">
        <v>0.25</v>
      </c>
      <c r="D22" s="235">
        <v>0.23</v>
      </c>
      <c r="E22" s="235"/>
      <c r="F22" s="192"/>
      <c r="G22" s="197">
        <v>0.24</v>
      </c>
      <c r="H22" s="235"/>
      <c r="J22" s="133"/>
    </row>
    <row r="23" spans="1:13" s="3" customFormat="1" ht="18">
      <c r="A23" s="18"/>
      <c r="B23" s="83"/>
      <c r="C23" s="202"/>
      <c r="D23" s="201"/>
      <c r="E23" s="201"/>
      <c r="F23" s="156"/>
      <c r="G23" s="47"/>
      <c r="H23" s="201"/>
      <c r="I23" s="89"/>
      <c r="J23" s="133"/>
    </row>
    <row r="24" spans="1:13" s="74" customFormat="1" ht="18">
      <c r="A24" s="73"/>
      <c r="B24" s="82" t="s">
        <v>32</v>
      </c>
      <c r="C24" s="47">
        <f>277+22</f>
        <v>299</v>
      </c>
      <c r="D24" s="204">
        <v>322</v>
      </c>
      <c r="E24" s="204"/>
      <c r="F24" s="156"/>
      <c r="G24" s="19">
        <v>621</v>
      </c>
      <c r="H24" s="204"/>
      <c r="I24" s="89"/>
      <c r="J24" s="133"/>
      <c r="K24" s="150"/>
    </row>
    <row r="25" spans="1:13" s="95" customFormat="1" ht="18.75">
      <c r="A25" s="93"/>
      <c r="B25" s="94" t="s">
        <v>59</v>
      </c>
      <c r="C25" s="88">
        <f>182+22</f>
        <v>204</v>
      </c>
      <c r="D25" s="219">
        <v>208</v>
      </c>
      <c r="E25" s="219"/>
      <c r="F25" s="157"/>
      <c r="G25" s="104">
        <v>412</v>
      </c>
      <c r="H25" s="219"/>
      <c r="J25" s="133"/>
      <c r="K25" s="150"/>
    </row>
    <row r="26" spans="1:13" s="95" customFormat="1" ht="18.75">
      <c r="A26" s="93"/>
      <c r="B26" s="94" t="s">
        <v>77</v>
      </c>
      <c r="C26" s="88">
        <v>95</v>
      </c>
      <c r="D26" s="219">
        <v>113</v>
      </c>
      <c r="E26" s="219"/>
      <c r="F26" s="157"/>
      <c r="G26" s="104">
        <v>209</v>
      </c>
      <c r="H26" s="219"/>
      <c r="J26" s="133"/>
      <c r="K26" s="150"/>
    </row>
    <row r="27" spans="1:13" s="74" customFormat="1" ht="21">
      <c r="A27" s="73"/>
      <c r="B27" s="82" t="s">
        <v>136</v>
      </c>
      <c r="C27" s="47">
        <f>520+50</f>
        <v>570</v>
      </c>
      <c r="D27" s="204">
        <v>573</v>
      </c>
      <c r="E27" s="204"/>
      <c r="F27" s="156"/>
      <c r="G27" s="19">
        <v>1142</v>
      </c>
      <c r="H27" s="204"/>
      <c r="J27" s="133"/>
      <c r="K27" s="150"/>
    </row>
    <row r="28" spans="1:13" s="74" customFormat="1" ht="18">
      <c r="A28" s="73"/>
      <c r="B28" s="82" t="s">
        <v>35</v>
      </c>
      <c r="C28" s="47">
        <f>71-10</f>
        <v>61</v>
      </c>
      <c r="D28" s="204">
        <v>59</v>
      </c>
      <c r="E28" s="204"/>
      <c r="F28" s="156"/>
      <c r="G28" s="19">
        <v>120</v>
      </c>
      <c r="H28" s="204"/>
      <c r="J28" s="133"/>
      <c r="K28" s="150"/>
    </row>
    <row r="29" spans="1:13" s="74" customFormat="1" ht="21">
      <c r="A29" s="73"/>
      <c r="B29" s="82" t="s">
        <v>137</v>
      </c>
      <c r="C29" s="47">
        <f>79-61</f>
        <v>18</v>
      </c>
      <c r="D29" s="204">
        <v>36</v>
      </c>
      <c r="E29" s="204"/>
      <c r="F29" s="156"/>
      <c r="G29" s="19">
        <v>53</v>
      </c>
      <c r="H29" s="204"/>
      <c r="J29" s="133"/>
      <c r="K29" s="150"/>
    </row>
    <row r="30" spans="1:13" s="74" customFormat="1" ht="18.75" thickBot="1">
      <c r="A30" s="73"/>
      <c r="B30" s="92" t="s">
        <v>138</v>
      </c>
      <c r="C30" s="44">
        <v>947</v>
      </c>
      <c r="D30" s="220">
        <v>989</v>
      </c>
      <c r="E30" s="220"/>
      <c r="F30" s="155"/>
      <c r="G30" s="105">
        <v>1937</v>
      </c>
      <c r="H30" s="220"/>
      <c r="J30" s="133"/>
      <c r="K30" s="150"/>
    </row>
    <row r="31" spans="1:13" ht="18.75" thickBot="1">
      <c r="A31" s="21"/>
      <c r="B31" s="84"/>
      <c r="C31" s="106">
        <v>1264</v>
      </c>
      <c r="D31" s="236">
        <v>1292</v>
      </c>
      <c r="E31" s="236"/>
      <c r="F31" s="156"/>
      <c r="G31" s="106">
        <v>2556</v>
      </c>
      <c r="H31" s="236"/>
      <c r="J31" s="133"/>
      <c r="K31" s="150"/>
    </row>
    <row r="32" spans="1:13" ht="18">
      <c r="A32" s="21"/>
      <c r="B32" s="84"/>
      <c r="C32" s="44"/>
      <c r="D32" s="114"/>
      <c r="E32" s="114"/>
      <c r="F32" s="156"/>
      <c r="G32" s="44"/>
      <c r="H32" s="114"/>
      <c r="J32" s="133"/>
    </row>
    <row r="33" spans="1:11" ht="18">
      <c r="A33" s="18" t="s">
        <v>139</v>
      </c>
      <c r="B33" s="241"/>
      <c r="C33" s="45"/>
      <c r="D33" s="237"/>
      <c r="E33" s="237"/>
      <c r="F33" s="156"/>
      <c r="G33" s="45"/>
      <c r="H33" s="237"/>
      <c r="J33" s="133"/>
    </row>
    <row r="34" spans="1:11" ht="18">
      <c r="A34" s="21"/>
      <c r="B34" s="84" t="s">
        <v>72</v>
      </c>
      <c r="C34" s="42">
        <f>250-8</f>
        <v>242</v>
      </c>
      <c r="D34" s="245">
        <v>240</v>
      </c>
      <c r="E34" s="240"/>
      <c r="F34" s="156"/>
      <c r="G34" s="42">
        <v>482</v>
      </c>
      <c r="H34" s="238"/>
      <c r="J34" s="133"/>
      <c r="K34" s="150"/>
    </row>
    <row r="35" spans="1:11" ht="18">
      <c r="A35" s="21"/>
      <c r="B35" s="82" t="s">
        <v>41</v>
      </c>
      <c r="C35" s="42">
        <f>145+8</f>
        <v>153</v>
      </c>
      <c r="D35" s="238">
        <v>151</v>
      </c>
      <c r="E35" s="238"/>
      <c r="F35" s="156"/>
      <c r="G35" s="42">
        <v>304</v>
      </c>
      <c r="H35" s="238"/>
      <c r="J35" s="133"/>
      <c r="K35" s="150"/>
    </row>
    <row r="36" spans="1:11" ht="21">
      <c r="A36" s="21"/>
      <c r="B36" s="82" t="s">
        <v>140</v>
      </c>
      <c r="C36" s="42">
        <v>152</v>
      </c>
      <c r="D36" s="238">
        <v>170</v>
      </c>
      <c r="E36" s="238"/>
      <c r="F36" s="156"/>
      <c r="G36" s="42">
        <v>322</v>
      </c>
      <c r="H36" s="238"/>
      <c r="J36" s="133"/>
      <c r="K36" s="150"/>
    </row>
    <row r="37" spans="1:11" ht="18">
      <c r="A37" s="21"/>
      <c r="B37" s="84" t="s">
        <v>71</v>
      </c>
      <c r="C37" s="42">
        <v>138</v>
      </c>
      <c r="D37" s="238">
        <v>135</v>
      </c>
      <c r="E37" s="238"/>
      <c r="F37" s="156"/>
      <c r="G37" s="42">
        <v>273</v>
      </c>
      <c r="H37" s="238"/>
      <c r="J37" s="133"/>
      <c r="K37" s="150"/>
    </row>
    <row r="38" spans="1:11" ht="18.75" thickBot="1">
      <c r="A38" s="21"/>
      <c r="B38" s="84" t="s">
        <v>141</v>
      </c>
      <c r="C38" s="42">
        <v>42</v>
      </c>
      <c r="D38" s="238">
        <v>48</v>
      </c>
      <c r="E38" s="238"/>
      <c r="F38" s="156"/>
      <c r="G38" s="42">
        <v>90</v>
      </c>
      <c r="H38" s="238"/>
      <c r="J38" s="133"/>
      <c r="K38" s="150"/>
    </row>
    <row r="39" spans="1:11" ht="18">
      <c r="A39" s="38"/>
      <c r="B39" s="102"/>
      <c r="C39" s="107">
        <v>727</v>
      </c>
      <c r="D39" s="101">
        <v>744</v>
      </c>
      <c r="E39" s="101"/>
      <c r="F39" s="156"/>
      <c r="G39" s="107">
        <v>1472</v>
      </c>
      <c r="H39" s="101"/>
      <c r="J39" s="133"/>
      <c r="K39" s="150"/>
    </row>
    <row r="40" spans="1:11" ht="18">
      <c r="A40" s="12"/>
      <c r="B40" s="12"/>
      <c r="C40" s="26"/>
      <c r="D40" s="26"/>
      <c r="E40" s="26"/>
      <c r="F40" s="156"/>
      <c r="G40" s="26"/>
      <c r="H40" s="26"/>
    </row>
    <row r="41" spans="1:11" s="40" customFormat="1" ht="18">
      <c r="A41" s="25"/>
      <c r="B41" s="40" t="s">
        <v>85</v>
      </c>
      <c r="C41" s="134"/>
      <c r="D41" s="134"/>
      <c r="E41" s="134"/>
    </row>
    <row r="42" spans="1:11" s="12" customFormat="1" ht="18">
      <c r="B42" s="40" t="s">
        <v>142</v>
      </c>
      <c r="C42" s="40"/>
      <c r="D42" s="40"/>
      <c r="E42" s="40"/>
      <c r="F42" s="40"/>
      <c r="G42" s="40"/>
      <c r="H42" s="40"/>
    </row>
    <row r="43" spans="1:11" s="12" customFormat="1" ht="18">
      <c r="B43" s="40" t="s">
        <v>143</v>
      </c>
      <c r="C43" s="40"/>
      <c r="D43" s="40"/>
      <c r="E43" s="40"/>
      <c r="F43" s="40"/>
      <c r="G43" s="40"/>
      <c r="H43" s="40"/>
    </row>
    <row r="44" spans="1:11" s="12" customFormat="1" ht="18">
      <c r="B44" s="40" t="s">
        <v>144</v>
      </c>
      <c r="C44" s="40"/>
      <c r="D44" s="40"/>
      <c r="E44" s="40"/>
      <c r="F44" s="40"/>
      <c r="G44" s="40"/>
      <c r="H44" s="40"/>
    </row>
    <row r="45" spans="1:11" s="12" customFormat="1" ht="18">
      <c r="B45" s="40" t="s">
        <v>145</v>
      </c>
      <c r="C45" s="40"/>
      <c r="D45" s="40"/>
      <c r="E45" s="40"/>
      <c r="F45" s="40"/>
      <c r="G45" s="72"/>
      <c r="H45" s="72"/>
    </row>
    <row r="46" spans="1:11" ht="18">
      <c r="B46" s="40" t="s">
        <v>146</v>
      </c>
      <c r="C46" s="5"/>
      <c r="D46" s="5"/>
      <c r="E46" s="5"/>
      <c r="F46" s="5"/>
      <c r="G46" s="5"/>
      <c r="H46" s="5"/>
    </row>
    <row r="47" spans="1:11" ht="18">
      <c r="B47" s="40" t="s">
        <v>147</v>
      </c>
      <c r="C47" s="5"/>
      <c r="D47" s="5"/>
      <c r="E47" s="5"/>
      <c r="F47" s="5"/>
      <c r="G47" s="5"/>
      <c r="H47" s="5"/>
    </row>
    <row r="48" spans="1:11" ht="18">
      <c r="B48" s="40" t="s">
        <v>148</v>
      </c>
    </row>
  </sheetData>
  <mergeCells count="1">
    <mergeCell ref="C5:D5"/>
  </mergeCells>
  <pageMargins left="0.70866141732283505" right="0.70866141732283505" top="0.74803149606299202" bottom="0.74803149606299202" header="0.31496062992126" footer="0.31496062992126"/>
  <pageSetup paperSize="9" scale="58" orientation="landscape" r:id="rId1"/>
  <colBreaks count="1" manualBreakCount="1">
    <brk id="5" max="1048575" man="1"/>
  </colBreaks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8"/>
  <sheetViews>
    <sheetView view="pageBreakPreview" zoomScale="69" zoomScaleNormal="100" zoomScaleSheetLayoutView="69" workbookViewId="0">
      <pane xSplit="3" ySplit="6" topLeftCell="F7" activePane="bottomRight" state="frozen"/>
      <selection pane="topRight" activeCell="U62" sqref="U62"/>
      <selection pane="bottomLeft" activeCell="U62" sqref="U62"/>
      <selection pane="bottomRight" activeCell="S20" sqref="S20"/>
    </sheetView>
  </sheetViews>
  <sheetFormatPr defaultColWidth="9.28515625" defaultRowHeight="16.5"/>
  <cols>
    <col min="1" max="1" width="1.7109375" style="2" customWidth="1"/>
    <col min="2" max="2" width="10.5703125" style="2" customWidth="1"/>
    <col min="3" max="3" width="42.7109375" style="2" customWidth="1"/>
    <col min="4" max="5" width="16.140625" style="2" hidden="1" customWidth="1"/>
    <col min="6" max="7" width="16.140625" style="2" customWidth="1"/>
    <col min="8" max="8" width="14.85546875" style="2" customWidth="1"/>
    <col min="9" max="9" width="16.140625" style="2" customWidth="1"/>
    <col min="10" max="10" width="18.28515625" style="2" customWidth="1"/>
    <col min="11" max="11" width="18.28515625" style="2" hidden="1" customWidth="1"/>
    <col min="12" max="12" width="20.140625" style="2" customWidth="1"/>
    <col min="13" max="13" width="18.28515625" style="2" customWidth="1"/>
    <col min="14" max="14" width="4.5703125" style="2" customWidth="1"/>
    <col min="15" max="16384" width="9.28515625" style="2"/>
  </cols>
  <sheetData>
    <row r="1" spans="1:15" ht="21" customHeight="1">
      <c r="A1" s="1" t="s">
        <v>183</v>
      </c>
    </row>
    <row r="2" spans="1:15" ht="8.25" customHeight="1">
      <c r="K2" s="10"/>
      <c r="L2" s="10"/>
      <c r="M2" s="10"/>
    </row>
    <row r="3" spans="1:15" s="70" customFormat="1" ht="18">
      <c r="A3" s="67" t="s">
        <v>184</v>
      </c>
      <c r="K3" s="10"/>
      <c r="L3" s="10"/>
      <c r="M3" s="10"/>
    </row>
    <row r="4" spans="1:15" ht="13.5" customHeight="1">
      <c r="A4" s="8"/>
      <c r="B4" s="12"/>
      <c r="C4" s="12"/>
      <c r="D4" s="40"/>
      <c r="E4" s="40"/>
      <c r="F4" s="40"/>
      <c r="G4" s="40"/>
      <c r="H4" s="40"/>
      <c r="I4" s="40"/>
      <c r="K4" s="5"/>
      <c r="L4" s="5"/>
      <c r="M4" s="5"/>
    </row>
    <row r="5" spans="1:15" s="5" customFormat="1" ht="18" customHeight="1">
      <c r="A5" s="130"/>
      <c r="B5" s="126"/>
      <c r="C5" s="126"/>
      <c r="D5" s="581" t="s">
        <v>7</v>
      </c>
      <c r="E5" s="582"/>
      <c r="F5" s="581" t="s">
        <v>2</v>
      </c>
      <c r="G5" s="582"/>
      <c r="H5" s="579" t="s">
        <v>3</v>
      </c>
      <c r="I5" s="580"/>
      <c r="K5" s="185"/>
      <c r="L5" s="185"/>
      <c r="M5" s="185"/>
      <c r="N5" s="2"/>
      <c r="O5" s="2"/>
    </row>
    <row r="6" spans="1:15" s="5" customFormat="1" ht="18">
      <c r="A6" s="166"/>
      <c r="B6" s="180"/>
      <c r="C6" s="149"/>
      <c r="D6" s="162" t="s">
        <v>5</v>
      </c>
      <c r="E6" s="162" t="s">
        <v>6</v>
      </c>
      <c r="F6" s="162" t="s">
        <v>5</v>
      </c>
      <c r="G6" s="162" t="s">
        <v>6</v>
      </c>
      <c r="H6" s="162" t="s">
        <v>5</v>
      </c>
      <c r="I6" s="162" t="s">
        <v>6</v>
      </c>
      <c r="K6" s="169" t="s">
        <v>7</v>
      </c>
      <c r="L6" s="163" t="s">
        <v>2</v>
      </c>
      <c r="M6" s="163" t="s">
        <v>3</v>
      </c>
    </row>
    <row r="7" spans="1:15" ht="16.5" customHeight="1">
      <c r="A7" s="565" t="s">
        <v>185</v>
      </c>
      <c r="B7" s="40"/>
      <c r="C7" s="40"/>
      <c r="D7" s="179"/>
      <c r="E7" s="179"/>
      <c r="F7" s="179"/>
      <c r="G7" s="179"/>
      <c r="H7" s="179"/>
      <c r="I7" s="179"/>
      <c r="K7" s="174"/>
      <c r="L7" s="174"/>
      <c r="M7" s="174"/>
    </row>
    <row r="8" spans="1:15" ht="16.5" customHeight="1">
      <c r="A8" s="21"/>
      <c r="B8" s="40" t="s">
        <v>186</v>
      </c>
      <c r="C8" s="40"/>
      <c r="D8" s="49">
        <v>456</v>
      </c>
      <c r="E8" s="49">
        <v>406</v>
      </c>
      <c r="F8" s="314">
        <v>431</v>
      </c>
      <c r="G8" s="314">
        <v>375</v>
      </c>
      <c r="H8" s="314">
        <v>354</v>
      </c>
      <c r="I8" s="314">
        <v>317</v>
      </c>
      <c r="J8" s="250"/>
      <c r="K8" s="314">
        <v>862</v>
      </c>
      <c r="L8" s="314">
        <v>806</v>
      </c>
      <c r="M8" s="314">
        <v>672</v>
      </c>
      <c r="N8" s="151"/>
      <c r="O8" s="151"/>
    </row>
    <row r="9" spans="1:15" ht="16.5" customHeight="1">
      <c r="A9" s="21"/>
      <c r="B9" s="40" t="s">
        <v>187</v>
      </c>
      <c r="C9" s="40"/>
      <c r="D9" s="49">
        <v>139</v>
      </c>
      <c r="E9" s="49">
        <v>158</v>
      </c>
      <c r="F9" s="314">
        <v>171</v>
      </c>
      <c r="G9" s="314">
        <v>168</v>
      </c>
      <c r="H9" s="314">
        <v>185</v>
      </c>
      <c r="I9" s="314">
        <v>226</v>
      </c>
      <c r="J9" s="250"/>
      <c r="K9" s="314">
        <v>297</v>
      </c>
      <c r="L9" s="314">
        <v>339</v>
      </c>
      <c r="M9" s="314">
        <v>411</v>
      </c>
      <c r="N9" s="151"/>
      <c r="O9" s="151"/>
    </row>
    <row r="10" spans="1:15" ht="16.5" customHeight="1">
      <c r="A10" s="21"/>
      <c r="B10" s="40" t="s">
        <v>188</v>
      </c>
      <c r="C10" s="40"/>
      <c r="D10" s="49">
        <v>336</v>
      </c>
      <c r="E10" s="49">
        <v>358</v>
      </c>
      <c r="F10" s="314">
        <v>377</v>
      </c>
      <c r="G10" s="314">
        <v>378</v>
      </c>
      <c r="H10" s="314">
        <v>396</v>
      </c>
      <c r="I10" s="314">
        <v>596</v>
      </c>
      <c r="J10" s="250"/>
      <c r="K10" s="314">
        <v>694</v>
      </c>
      <c r="L10" s="314">
        <v>755</v>
      </c>
      <c r="M10" s="314">
        <v>991</v>
      </c>
      <c r="N10" s="151"/>
      <c r="O10" s="151"/>
    </row>
    <row r="11" spans="1:15" ht="16.5" customHeight="1">
      <c r="A11" s="21"/>
      <c r="B11" s="40" t="s">
        <v>189</v>
      </c>
      <c r="C11" s="40"/>
      <c r="D11" s="49">
        <v>172</v>
      </c>
      <c r="E11" s="49">
        <v>129</v>
      </c>
      <c r="F11" s="314">
        <v>141</v>
      </c>
      <c r="G11" s="314">
        <v>146</v>
      </c>
      <c r="H11" s="314">
        <v>156</v>
      </c>
      <c r="I11" s="314">
        <v>113</v>
      </c>
      <c r="J11" s="250"/>
      <c r="K11" s="314">
        <v>301</v>
      </c>
      <c r="L11" s="314">
        <v>287</v>
      </c>
      <c r="M11" s="314">
        <v>269</v>
      </c>
      <c r="N11" s="151"/>
      <c r="O11" s="151"/>
    </row>
    <row r="12" spans="1:15" ht="16.5" hidden="1" customHeight="1">
      <c r="A12" s="21"/>
      <c r="B12" s="40" t="s">
        <v>190</v>
      </c>
      <c r="C12" s="40"/>
      <c r="D12" s="49"/>
      <c r="E12" s="49"/>
      <c r="F12" s="314"/>
      <c r="G12" s="314"/>
      <c r="H12" s="314"/>
      <c r="I12" s="314"/>
      <c r="J12" s="250"/>
      <c r="K12" s="314"/>
      <c r="L12" s="314"/>
      <c r="M12" s="314"/>
      <c r="N12" s="151"/>
      <c r="O12" s="151"/>
    </row>
    <row r="13" spans="1:15" s="5" customFormat="1" ht="21">
      <c r="A13" s="21"/>
      <c r="B13" s="40" t="s">
        <v>276</v>
      </c>
      <c r="C13" s="40"/>
      <c r="D13" s="48">
        <v>52</v>
      </c>
      <c r="E13" s="48">
        <v>61</v>
      </c>
      <c r="F13" s="271">
        <v>68</v>
      </c>
      <c r="G13" s="271">
        <v>80</v>
      </c>
      <c r="H13" s="271">
        <v>73</v>
      </c>
      <c r="I13" s="271">
        <v>77</v>
      </c>
      <c r="J13" s="250"/>
      <c r="K13" s="271">
        <v>113</v>
      </c>
      <c r="L13" s="271">
        <v>147</v>
      </c>
      <c r="M13" s="271">
        <v>150</v>
      </c>
      <c r="N13" s="151"/>
      <c r="O13" s="151"/>
    </row>
    <row r="14" spans="1:15" ht="16.5" customHeight="1">
      <c r="A14" s="21"/>
      <c r="B14" s="40" t="s">
        <v>192</v>
      </c>
      <c r="C14" s="40"/>
      <c r="D14" s="49">
        <v>1155</v>
      </c>
      <c r="E14" s="49">
        <v>1112</v>
      </c>
      <c r="F14" s="314">
        <v>1187</v>
      </c>
      <c r="G14" s="314">
        <v>1147</v>
      </c>
      <c r="H14" s="314">
        <v>1164</v>
      </c>
      <c r="I14" s="314">
        <v>1329</v>
      </c>
      <c r="J14" s="250"/>
      <c r="K14" s="314">
        <v>2267</v>
      </c>
      <c r="L14" s="314">
        <v>2334</v>
      </c>
      <c r="M14" s="314">
        <v>2494</v>
      </c>
      <c r="N14" s="151"/>
      <c r="O14" s="151"/>
    </row>
    <row r="15" spans="1:15" ht="16.5" customHeight="1">
      <c r="A15" s="21"/>
      <c r="B15" s="40" t="s">
        <v>37</v>
      </c>
      <c r="C15" s="40"/>
      <c r="D15" s="46">
        <v>2</v>
      </c>
      <c r="E15" s="46">
        <v>18</v>
      </c>
      <c r="F15" s="315">
        <v>8</v>
      </c>
      <c r="G15" s="315">
        <v>-4</v>
      </c>
      <c r="H15" s="315">
        <v>4</v>
      </c>
      <c r="I15" s="315">
        <v>1</v>
      </c>
      <c r="J15" s="250"/>
      <c r="K15" s="315">
        <v>20</v>
      </c>
      <c r="L15" s="315">
        <v>4</v>
      </c>
      <c r="M15" s="315">
        <v>5</v>
      </c>
      <c r="N15" s="151"/>
      <c r="O15" s="151"/>
    </row>
    <row r="16" spans="1:15" ht="16.5" customHeight="1">
      <c r="A16" s="21"/>
      <c r="B16" s="566" t="s">
        <v>193</v>
      </c>
      <c r="C16" s="566"/>
      <c r="D16" s="30">
        <v>1157</v>
      </c>
      <c r="E16" s="30">
        <v>1130</v>
      </c>
      <c r="F16" s="316">
        <v>1195</v>
      </c>
      <c r="G16" s="316">
        <v>1143</v>
      </c>
      <c r="H16" s="316">
        <v>1169</v>
      </c>
      <c r="I16" s="316">
        <v>1330</v>
      </c>
      <c r="J16" s="250"/>
      <c r="K16" s="316">
        <v>2287</v>
      </c>
      <c r="L16" s="316">
        <v>2338</v>
      </c>
      <c r="M16" s="316">
        <v>2499</v>
      </c>
      <c r="N16" s="151"/>
      <c r="O16" s="151"/>
    </row>
    <row r="17" spans="1:15" ht="16.5" customHeight="1">
      <c r="A17" s="21"/>
      <c r="B17" s="40"/>
      <c r="C17" s="40"/>
      <c r="D17" s="49"/>
      <c r="E17" s="49"/>
      <c r="F17" s="314"/>
      <c r="G17" s="314"/>
      <c r="H17" s="314"/>
      <c r="I17" s="314"/>
      <c r="J17" s="250"/>
      <c r="K17" s="314"/>
      <c r="L17" s="314"/>
      <c r="M17" s="314"/>
      <c r="O17" s="151"/>
    </row>
    <row r="18" spans="1:15" ht="16.5" customHeight="1">
      <c r="A18" s="565" t="s">
        <v>194</v>
      </c>
      <c r="B18" s="40"/>
      <c r="C18" s="40"/>
      <c r="D18" s="173"/>
      <c r="E18" s="173"/>
      <c r="F18" s="317"/>
      <c r="G18" s="317"/>
      <c r="H18" s="317"/>
      <c r="I18" s="317"/>
      <c r="J18" s="250"/>
      <c r="K18" s="317"/>
      <c r="L18" s="317"/>
      <c r="M18" s="317"/>
      <c r="O18" s="151"/>
    </row>
    <row r="19" spans="1:15" ht="16.5" customHeight="1">
      <c r="A19" s="21"/>
      <c r="B19" s="40" t="s">
        <v>186</v>
      </c>
      <c r="C19" s="40"/>
      <c r="D19" s="49">
        <v>350</v>
      </c>
      <c r="E19" s="49">
        <v>315</v>
      </c>
      <c r="F19" s="314">
        <v>336</v>
      </c>
      <c r="G19" s="314">
        <v>292</v>
      </c>
      <c r="H19" s="314">
        <v>276</v>
      </c>
      <c r="I19" s="314">
        <v>268</v>
      </c>
      <c r="J19" s="250"/>
      <c r="K19" s="314">
        <v>664</v>
      </c>
      <c r="L19" s="314">
        <v>628</v>
      </c>
      <c r="M19" s="314">
        <v>545</v>
      </c>
      <c r="N19" s="151"/>
      <c r="O19" s="151"/>
    </row>
    <row r="20" spans="1:15" ht="16.5" customHeight="1">
      <c r="A20" s="21"/>
      <c r="B20" s="40" t="s">
        <v>195</v>
      </c>
      <c r="C20" s="40"/>
      <c r="D20" s="49">
        <v>113</v>
      </c>
      <c r="E20" s="49">
        <v>128</v>
      </c>
      <c r="F20" s="314">
        <v>138</v>
      </c>
      <c r="G20" s="314">
        <v>136</v>
      </c>
      <c r="H20" s="314">
        <v>152</v>
      </c>
      <c r="I20" s="314">
        <v>183</v>
      </c>
      <c r="J20" s="250"/>
      <c r="K20" s="314">
        <v>240</v>
      </c>
      <c r="L20" s="314">
        <v>274</v>
      </c>
      <c r="M20" s="314">
        <v>334</v>
      </c>
      <c r="N20" s="151"/>
      <c r="O20" s="151"/>
    </row>
    <row r="21" spans="1:15" ht="16.5" customHeight="1">
      <c r="A21" s="21"/>
      <c r="B21" s="40" t="s">
        <v>188</v>
      </c>
      <c r="C21" s="40"/>
      <c r="D21" s="49">
        <v>172</v>
      </c>
      <c r="E21" s="49">
        <v>213</v>
      </c>
      <c r="F21" s="314">
        <v>213</v>
      </c>
      <c r="G21" s="314">
        <v>227</v>
      </c>
      <c r="H21" s="314">
        <v>199</v>
      </c>
      <c r="I21" s="314">
        <v>336</v>
      </c>
      <c r="J21" s="250"/>
      <c r="K21" s="314">
        <v>385</v>
      </c>
      <c r="L21" s="314">
        <v>440</v>
      </c>
      <c r="M21" s="314">
        <v>535</v>
      </c>
      <c r="N21" s="151"/>
      <c r="O21" s="151"/>
    </row>
    <row r="22" spans="1:15" ht="16.5" customHeight="1">
      <c r="A22" s="21"/>
      <c r="B22" s="40" t="s">
        <v>189</v>
      </c>
      <c r="C22" s="40"/>
      <c r="D22" s="49">
        <v>133</v>
      </c>
      <c r="E22" s="49">
        <v>99</v>
      </c>
      <c r="F22" s="314">
        <v>109</v>
      </c>
      <c r="G22" s="314">
        <v>113</v>
      </c>
      <c r="H22" s="314">
        <v>130</v>
      </c>
      <c r="I22" s="314">
        <v>91</v>
      </c>
      <c r="J22" s="250"/>
      <c r="K22" s="314">
        <v>232</v>
      </c>
      <c r="L22" s="314">
        <v>222</v>
      </c>
      <c r="M22" s="314">
        <v>221</v>
      </c>
      <c r="N22" s="151"/>
      <c r="O22" s="151"/>
    </row>
    <row r="23" spans="1:15" ht="16.5" hidden="1" customHeight="1">
      <c r="A23" s="21"/>
      <c r="B23" s="40" t="s">
        <v>190</v>
      </c>
      <c r="C23" s="40"/>
      <c r="D23" s="49"/>
      <c r="E23" s="49"/>
      <c r="F23" s="314"/>
      <c r="G23" s="314"/>
      <c r="H23" s="314"/>
      <c r="I23" s="314"/>
      <c r="J23" s="250"/>
      <c r="K23" s="314"/>
      <c r="L23" s="314"/>
      <c r="M23" s="314"/>
      <c r="N23" s="151"/>
      <c r="O23" s="151"/>
    </row>
    <row r="24" spans="1:15" s="5" customFormat="1" ht="16.5" customHeight="1">
      <c r="A24" s="21"/>
      <c r="B24" s="40" t="s">
        <v>276</v>
      </c>
      <c r="C24" s="40"/>
      <c r="D24" s="48">
        <v>42</v>
      </c>
      <c r="E24" s="48">
        <v>49</v>
      </c>
      <c r="F24" s="271">
        <v>55</v>
      </c>
      <c r="G24" s="271">
        <v>67</v>
      </c>
      <c r="H24" s="271">
        <v>60</v>
      </c>
      <c r="I24" s="271">
        <v>61</v>
      </c>
      <c r="J24" s="250"/>
      <c r="K24" s="271">
        <v>91</v>
      </c>
      <c r="L24" s="271">
        <v>121</v>
      </c>
      <c r="M24" s="271">
        <v>121</v>
      </c>
      <c r="N24" s="151"/>
      <c r="O24" s="151"/>
    </row>
    <row r="25" spans="1:15" ht="16.5" customHeight="1">
      <c r="A25" s="21"/>
      <c r="B25" s="40" t="s">
        <v>196</v>
      </c>
      <c r="C25" s="40"/>
      <c r="D25" s="49">
        <v>809</v>
      </c>
      <c r="E25" s="49">
        <v>803</v>
      </c>
      <c r="F25" s="314">
        <v>850</v>
      </c>
      <c r="G25" s="314">
        <v>834</v>
      </c>
      <c r="H25" s="314">
        <v>817</v>
      </c>
      <c r="I25" s="314">
        <v>939</v>
      </c>
      <c r="J25" s="250"/>
      <c r="K25" s="314">
        <v>1612</v>
      </c>
      <c r="L25" s="314">
        <v>1685</v>
      </c>
      <c r="M25" s="314">
        <v>1756</v>
      </c>
      <c r="N25" s="151"/>
      <c r="O25" s="151"/>
    </row>
    <row r="26" spans="1:15" s="5" customFormat="1" ht="16.5" customHeight="1">
      <c r="A26" s="21"/>
      <c r="B26" s="40" t="s">
        <v>37</v>
      </c>
      <c r="C26" s="40"/>
      <c r="D26" s="46">
        <v>2</v>
      </c>
      <c r="E26" s="46">
        <v>4</v>
      </c>
      <c r="F26" s="315">
        <v>6</v>
      </c>
      <c r="G26" s="315">
        <v>-10</v>
      </c>
      <c r="H26" s="315">
        <v>2</v>
      </c>
      <c r="I26" s="315">
        <v>-5</v>
      </c>
      <c r="J26" s="250"/>
      <c r="K26" s="315">
        <v>7</v>
      </c>
      <c r="L26" s="315">
        <v>-4</v>
      </c>
      <c r="M26" s="315">
        <v>-3</v>
      </c>
      <c r="N26" s="151"/>
      <c r="O26" s="151"/>
    </row>
    <row r="27" spans="1:15" ht="16.5" customHeight="1">
      <c r="A27" s="21"/>
      <c r="B27" s="27" t="s">
        <v>193</v>
      </c>
      <c r="C27" s="27"/>
      <c r="D27" s="46">
        <v>812</v>
      </c>
      <c r="E27" s="46">
        <v>807</v>
      </c>
      <c r="F27" s="315">
        <v>857</v>
      </c>
      <c r="G27" s="315">
        <v>824</v>
      </c>
      <c r="H27" s="315">
        <v>819</v>
      </c>
      <c r="I27" s="315">
        <v>934</v>
      </c>
      <c r="J27" s="250"/>
      <c r="K27" s="315">
        <v>1619</v>
      </c>
      <c r="L27" s="315">
        <v>1681</v>
      </c>
      <c r="M27" s="315">
        <v>1753</v>
      </c>
      <c r="N27" s="151"/>
      <c r="O27" s="151"/>
    </row>
    <row r="28" spans="1:15" ht="13.5" customHeight="1">
      <c r="A28" s="21"/>
      <c r="B28" s="12"/>
      <c r="C28" s="12"/>
      <c r="D28" s="49"/>
      <c r="E28" s="49"/>
      <c r="F28" s="314"/>
      <c r="G28" s="314"/>
      <c r="H28" s="314"/>
      <c r="I28" s="314"/>
      <c r="J28" s="250"/>
      <c r="K28" s="314"/>
      <c r="L28" s="314"/>
      <c r="M28" s="314"/>
      <c r="O28" s="151"/>
    </row>
    <row r="29" spans="1:15" ht="16.5" customHeight="1">
      <c r="A29" s="11" t="s">
        <v>197</v>
      </c>
      <c r="B29" s="12"/>
      <c r="C29" s="12"/>
      <c r="D29" s="173"/>
      <c r="E29" s="173"/>
      <c r="F29" s="317"/>
      <c r="G29" s="317"/>
      <c r="H29" s="317"/>
      <c r="I29" s="317"/>
      <c r="J29" s="250"/>
      <c r="K29" s="317"/>
      <c r="L29" s="317"/>
      <c r="M29" s="317"/>
      <c r="O29" s="151"/>
    </row>
    <row r="30" spans="1:15" ht="16.5" customHeight="1">
      <c r="A30" s="21"/>
      <c r="B30" s="12" t="s">
        <v>186</v>
      </c>
      <c r="C30" s="12"/>
      <c r="D30" s="36">
        <v>681</v>
      </c>
      <c r="E30" s="36">
        <v>224</v>
      </c>
      <c r="F30" s="318">
        <v>824</v>
      </c>
      <c r="G30" s="318">
        <v>0</v>
      </c>
      <c r="H30" s="318">
        <v>558</v>
      </c>
      <c r="I30" s="318">
        <v>0</v>
      </c>
      <c r="J30" s="250"/>
      <c r="K30" s="318">
        <v>905</v>
      </c>
      <c r="L30" s="318">
        <v>824</v>
      </c>
      <c r="M30" s="318">
        <v>558</v>
      </c>
      <c r="N30" s="151"/>
      <c r="O30" s="151"/>
    </row>
    <row r="31" spans="1:15" ht="16.5" customHeight="1">
      <c r="A31" s="21"/>
      <c r="B31" s="12" t="s">
        <v>187</v>
      </c>
      <c r="C31" s="12"/>
      <c r="D31" s="36">
        <v>212</v>
      </c>
      <c r="E31" s="36">
        <v>0</v>
      </c>
      <c r="F31" s="318">
        <v>224</v>
      </c>
      <c r="G31" s="318">
        <v>0</v>
      </c>
      <c r="H31" s="318">
        <v>245</v>
      </c>
      <c r="I31" s="318">
        <v>0</v>
      </c>
      <c r="J31" s="250"/>
      <c r="K31" s="318">
        <v>212</v>
      </c>
      <c r="L31" s="318">
        <v>224</v>
      </c>
      <c r="M31" s="318">
        <v>245</v>
      </c>
      <c r="N31" s="151"/>
      <c r="O31" s="151"/>
    </row>
    <row r="32" spans="1:15" ht="16.5" customHeight="1">
      <c r="A32" s="21"/>
      <c r="B32" s="12" t="s">
        <v>188</v>
      </c>
      <c r="C32" s="12"/>
      <c r="D32" s="36">
        <v>41</v>
      </c>
      <c r="E32" s="36">
        <v>0</v>
      </c>
      <c r="F32" s="318">
        <v>39</v>
      </c>
      <c r="G32" s="318">
        <v>0</v>
      </c>
      <c r="H32" s="318">
        <v>67</v>
      </c>
      <c r="I32" s="318">
        <v>0</v>
      </c>
      <c r="J32" s="250"/>
      <c r="K32" s="318">
        <v>41</v>
      </c>
      <c r="L32" s="318">
        <v>39</v>
      </c>
      <c r="M32" s="318">
        <v>67</v>
      </c>
      <c r="N32" s="151"/>
      <c r="O32" s="151"/>
    </row>
    <row r="33" spans="1:15" ht="16.5" customHeight="1">
      <c r="A33" s="21"/>
      <c r="B33" s="12" t="s">
        <v>189</v>
      </c>
      <c r="C33" s="12"/>
      <c r="D33" s="36">
        <v>87</v>
      </c>
      <c r="E33" s="36">
        <v>83</v>
      </c>
      <c r="F33" s="318">
        <v>81</v>
      </c>
      <c r="G33" s="318">
        <v>81</v>
      </c>
      <c r="H33" s="318">
        <v>79</v>
      </c>
      <c r="I33" s="318">
        <v>78</v>
      </c>
      <c r="J33" s="250"/>
      <c r="K33" s="318">
        <v>170</v>
      </c>
      <c r="L33" s="318">
        <v>162</v>
      </c>
      <c r="M33" s="318">
        <v>157</v>
      </c>
      <c r="N33" s="151"/>
      <c r="O33" s="151"/>
    </row>
    <row r="34" spans="1:15" ht="16.5" hidden="1" customHeight="1">
      <c r="A34" s="21"/>
      <c r="B34" s="12" t="s">
        <v>190</v>
      </c>
      <c r="C34" s="12"/>
      <c r="D34" s="36"/>
      <c r="E34" s="36"/>
      <c r="F34" s="318"/>
      <c r="G34" s="318"/>
      <c r="H34" s="318"/>
      <c r="I34" s="318"/>
      <c r="J34" s="250"/>
      <c r="K34" s="318"/>
      <c r="L34" s="318"/>
      <c r="M34" s="318"/>
      <c r="N34" s="151"/>
      <c r="O34" s="151"/>
    </row>
    <row r="35" spans="1:15" s="5" customFormat="1" ht="16.5" customHeight="1">
      <c r="A35" s="21"/>
      <c r="B35" s="40" t="s">
        <v>191</v>
      </c>
      <c r="C35" s="40"/>
      <c r="D35" s="39">
        <v>99</v>
      </c>
      <c r="E35" s="39">
        <v>44</v>
      </c>
      <c r="F35" s="319">
        <v>95</v>
      </c>
      <c r="G35" s="319">
        <v>0</v>
      </c>
      <c r="H35" s="319">
        <v>111</v>
      </c>
      <c r="I35" s="319">
        <v>178</v>
      </c>
      <c r="J35" s="250"/>
      <c r="K35" s="319">
        <v>143</v>
      </c>
      <c r="L35" s="319">
        <v>95</v>
      </c>
      <c r="M35" s="319">
        <v>288</v>
      </c>
      <c r="N35" s="151"/>
      <c r="O35" s="151"/>
    </row>
    <row r="36" spans="1:15" ht="16.5" customHeight="1">
      <c r="A36" s="21"/>
      <c r="B36" s="12" t="s">
        <v>196</v>
      </c>
      <c r="C36" s="12"/>
      <c r="D36" s="36">
        <v>1120</v>
      </c>
      <c r="E36" s="36">
        <v>350</v>
      </c>
      <c r="F36" s="318">
        <v>1263</v>
      </c>
      <c r="G36" s="318">
        <v>81</v>
      </c>
      <c r="H36" s="318">
        <v>1060</v>
      </c>
      <c r="I36" s="318">
        <v>256</v>
      </c>
      <c r="J36" s="250"/>
      <c r="K36" s="318">
        <v>1471</v>
      </c>
      <c r="L36" s="318">
        <v>1344</v>
      </c>
      <c r="M36" s="318">
        <v>1315</v>
      </c>
      <c r="N36" s="151"/>
      <c r="O36" s="151"/>
    </row>
    <row r="37" spans="1:15" ht="16.5" customHeight="1">
      <c r="A37" s="21"/>
      <c r="B37" s="12" t="s">
        <v>37</v>
      </c>
      <c r="C37" s="12"/>
      <c r="D37" s="61">
        <v>38</v>
      </c>
      <c r="E37" s="61">
        <v>39</v>
      </c>
      <c r="F37" s="320">
        <v>37</v>
      </c>
      <c r="G37" s="320">
        <v>33</v>
      </c>
      <c r="H37" s="320">
        <v>37</v>
      </c>
      <c r="I37" s="320">
        <v>36</v>
      </c>
      <c r="J37" s="250"/>
      <c r="K37" s="320">
        <v>76</v>
      </c>
      <c r="L37" s="320">
        <v>70</v>
      </c>
      <c r="M37" s="320">
        <v>73</v>
      </c>
      <c r="N37" s="151"/>
      <c r="O37" s="151"/>
    </row>
    <row r="38" spans="1:15" ht="16.5" customHeight="1">
      <c r="A38" s="21"/>
      <c r="B38" s="27" t="s">
        <v>48</v>
      </c>
      <c r="C38" s="27"/>
      <c r="D38" s="30">
        <v>1158</v>
      </c>
      <c r="E38" s="30">
        <v>389</v>
      </c>
      <c r="F38" s="316">
        <v>1300</v>
      </c>
      <c r="G38" s="316">
        <v>113</v>
      </c>
      <c r="H38" s="316">
        <v>1097</v>
      </c>
      <c r="I38" s="316">
        <v>291</v>
      </c>
      <c r="J38" s="250"/>
      <c r="K38" s="316">
        <v>1547</v>
      </c>
      <c r="L38" s="316">
        <v>1413</v>
      </c>
      <c r="M38" s="316">
        <v>1388</v>
      </c>
      <c r="N38" s="151"/>
      <c r="O38" s="151"/>
    </row>
    <row r="39" spans="1:15" ht="13.5" customHeight="1">
      <c r="A39" s="21"/>
      <c r="B39" s="12"/>
      <c r="C39" s="12"/>
      <c r="D39" s="49"/>
      <c r="E39" s="49"/>
      <c r="F39" s="314"/>
      <c r="G39" s="314"/>
      <c r="H39" s="314"/>
      <c r="I39" s="314"/>
      <c r="J39" s="250"/>
      <c r="K39" s="314"/>
      <c r="L39" s="314"/>
      <c r="M39" s="314"/>
      <c r="O39" s="151"/>
    </row>
    <row r="40" spans="1:15" ht="16.5" customHeight="1">
      <c r="A40" s="11" t="s">
        <v>198</v>
      </c>
      <c r="B40" s="12"/>
      <c r="C40" s="12"/>
      <c r="D40" s="173"/>
      <c r="E40" s="173"/>
      <c r="F40" s="317"/>
      <c r="G40" s="317"/>
      <c r="H40" s="317"/>
      <c r="I40" s="317"/>
      <c r="J40" s="250"/>
      <c r="K40" s="317"/>
      <c r="L40" s="317"/>
      <c r="M40" s="317"/>
      <c r="O40" s="151"/>
    </row>
    <row r="41" spans="1:15" ht="16.5" customHeight="1">
      <c r="A41" s="21"/>
      <c r="B41" s="12" t="s">
        <v>186</v>
      </c>
      <c r="C41" s="12"/>
      <c r="D41" s="49">
        <v>159836</v>
      </c>
      <c r="E41" s="49">
        <v>151067</v>
      </c>
      <c r="F41" s="314">
        <v>158300</v>
      </c>
      <c r="G41" s="314">
        <v>159668</v>
      </c>
      <c r="H41" s="314">
        <v>158416</v>
      </c>
      <c r="I41" s="314">
        <v>158811</v>
      </c>
      <c r="J41" s="250"/>
      <c r="K41" s="314">
        <v>151067</v>
      </c>
      <c r="L41" s="314">
        <v>159668</v>
      </c>
      <c r="M41" s="314">
        <v>158811</v>
      </c>
      <c r="N41" s="151"/>
      <c r="O41" s="151"/>
    </row>
    <row r="42" spans="1:15" ht="16.5" customHeight="1">
      <c r="A42" s="21"/>
      <c r="B42" s="12" t="s">
        <v>187</v>
      </c>
      <c r="C42" s="12"/>
      <c r="D42" s="49">
        <v>45662</v>
      </c>
      <c r="E42" s="49">
        <v>46121</v>
      </c>
      <c r="F42" s="314">
        <v>44450</v>
      </c>
      <c r="G42" s="314">
        <v>45025</v>
      </c>
      <c r="H42" s="314">
        <v>46282</v>
      </c>
      <c r="I42" s="314">
        <v>45716</v>
      </c>
      <c r="J42" s="250"/>
      <c r="K42" s="314">
        <v>46121</v>
      </c>
      <c r="L42" s="314">
        <v>45025</v>
      </c>
      <c r="M42" s="314">
        <v>45716</v>
      </c>
      <c r="N42" s="151"/>
      <c r="O42" s="151"/>
    </row>
    <row r="43" spans="1:15" ht="16.5" customHeight="1">
      <c r="A43" s="21"/>
      <c r="B43" s="12" t="s">
        <v>199</v>
      </c>
      <c r="C43" s="12"/>
      <c r="D43" s="49">
        <v>465419</v>
      </c>
      <c r="E43" s="49">
        <v>478514</v>
      </c>
      <c r="F43" s="314">
        <v>493014</v>
      </c>
      <c r="G43" s="314">
        <v>507874</v>
      </c>
      <c r="H43" s="314">
        <v>508282</v>
      </c>
      <c r="I43" s="314">
        <v>527646</v>
      </c>
      <c r="J43" s="250"/>
      <c r="K43" s="314">
        <v>478514</v>
      </c>
      <c r="L43" s="314">
        <v>507874</v>
      </c>
      <c r="M43" s="314">
        <v>527646</v>
      </c>
      <c r="N43" s="151"/>
      <c r="O43" s="151"/>
    </row>
    <row r="44" spans="1:15" ht="18.75" customHeight="1">
      <c r="A44" s="21"/>
      <c r="B44" s="28" t="s">
        <v>200</v>
      </c>
      <c r="C44" s="29"/>
      <c r="D44" s="49">
        <v>327798</v>
      </c>
      <c r="E44" s="49">
        <v>335412</v>
      </c>
      <c r="F44" s="314">
        <v>342305</v>
      </c>
      <c r="G44" s="314">
        <v>352253</v>
      </c>
      <c r="H44" s="314">
        <v>351640</v>
      </c>
      <c r="I44" s="314">
        <v>361593</v>
      </c>
      <c r="J44" s="250"/>
      <c r="K44" s="314">
        <v>335412</v>
      </c>
      <c r="L44" s="314">
        <v>352253</v>
      </c>
      <c r="M44" s="314">
        <v>361593</v>
      </c>
      <c r="N44" s="151"/>
      <c r="O44" s="151"/>
    </row>
    <row r="45" spans="1:15" ht="18.75" customHeight="1">
      <c r="A45" s="21"/>
      <c r="B45" s="28" t="s">
        <v>201</v>
      </c>
      <c r="C45" s="29"/>
      <c r="D45" s="49">
        <v>134660</v>
      </c>
      <c r="E45" s="49">
        <v>140048</v>
      </c>
      <c r="F45" s="314">
        <v>147666</v>
      </c>
      <c r="G45" s="314">
        <v>152718</v>
      </c>
      <c r="H45" s="314">
        <v>156642</v>
      </c>
      <c r="I45" s="314">
        <v>166053</v>
      </c>
      <c r="J45" s="250"/>
      <c r="K45" s="314">
        <v>140048</v>
      </c>
      <c r="L45" s="314">
        <v>152718</v>
      </c>
      <c r="M45" s="314">
        <v>166053</v>
      </c>
      <c r="N45" s="151"/>
      <c r="O45" s="151"/>
    </row>
    <row r="46" spans="1:15" ht="18.75" customHeight="1">
      <c r="A46" s="21"/>
      <c r="B46" s="28" t="s">
        <v>202</v>
      </c>
      <c r="C46" s="29"/>
      <c r="D46" s="49">
        <v>2961</v>
      </c>
      <c r="E46" s="49">
        <v>3054</v>
      </c>
      <c r="F46" s="314">
        <v>3043</v>
      </c>
      <c r="G46" s="314">
        <v>2903</v>
      </c>
      <c r="H46" s="314">
        <v>0</v>
      </c>
      <c r="I46" s="314">
        <v>0</v>
      </c>
      <c r="J46" s="250"/>
      <c r="K46" s="314">
        <v>3054</v>
      </c>
      <c r="L46" s="314">
        <v>2903</v>
      </c>
      <c r="M46" s="314">
        <v>0</v>
      </c>
      <c r="N46" s="151"/>
      <c r="O46" s="151"/>
    </row>
    <row r="47" spans="1:15" ht="17.45" customHeight="1">
      <c r="A47" s="21"/>
      <c r="B47" s="12" t="s">
        <v>189</v>
      </c>
      <c r="C47" s="12"/>
      <c r="D47" s="49">
        <v>87874</v>
      </c>
      <c r="E47" s="49">
        <v>84215</v>
      </c>
      <c r="F47" s="314">
        <v>54731</v>
      </c>
      <c r="G47" s="314">
        <v>58774</v>
      </c>
      <c r="H47" s="314">
        <v>60167</v>
      </c>
      <c r="I47" s="314">
        <v>61593</v>
      </c>
      <c r="J47" s="250"/>
      <c r="K47" s="314">
        <v>84215</v>
      </c>
      <c r="L47" s="314">
        <v>58774</v>
      </c>
      <c r="M47" s="314">
        <v>61593</v>
      </c>
      <c r="N47" s="151"/>
      <c r="O47" s="151"/>
    </row>
    <row r="48" spans="1:15" ht="17.45" customHeight="1">
      <c r="A48" s="21"/>
      <c r="B48" s="12"/>
      <c r="C48" s="12"/>
      <c r="D48" s="49"/>
      <c r="E48" s="49"/>
      <c r="F48" s="314"/>
      <c r="G48" s="314"/>
      <c r="H48" s="314"/>
      <c r="I48" s="314"/>
      <c r="J48" s="250"/>
      <c r="K48" s="314"/>
      <c r="L48" s="314"/>
      <c r="M48" s="314"/>
      <c r="N48" s="151"/>
      <c r="O48" s="151"/>
    </row>
    <row r="49" spans="1:15" ht="17.45" customHeight="1">
      <c r="A49" s="21"/>
      <c r="B49" s="12"/>
      <c r="C49" s="12"/>
      <c r="D49" s="49"/>
      <c r="E49" s="49"/>
      <c r="F49" s="314"/>
      <c r="G49" s="314"/>
      <c r="H49" s="314"/>
      <c r="I49" s="314"/>
      <c r="J49" s="250"/>
      <c r="K49" s="314"/>
      <c r="L49" s="314"/>
      <c r="M49" s="314"/>
      <c r="N49" s="151"/>
      <c r="O49" s="151"/>
    </row>
    <row r="50" spans="1:15" ht="17.45" customHeight="1">
      <c r="A50" s="22"/>
      <c r="B50" s="27" t="s">
        <v>48</v>
      </c>
      <c r="C50" s="27"/>
      <c r="D50" s="30">
        <v>758791</v>
      </c>
      <c r="E50" s="30">
        <v>759917</v>
      </c>
      <c r="F50" s="316">
        <v>750495</v>
      </c>
      <c r="G50" s="316">
        <v>771341</v>
      </c>
      <c r="H50" s="316">
        <v>773147</v>
      </c>
      <c r="I50" s="316">
        <v>793766</v>
      </c>
      <c r="J50" s="250"/>
      <c r="K50" s="316">
        <v>759917</v>
      </c>
      <c r="L50" s="316">
        <v>771341</v>
      </c>
      <c r="M50" s="316">
        <v>793766</v>
      </c>
      <c r="N50" s="151"/>
      <c r="O50" s="151"/>
    </row>
    <row r="51" spans="1:15" ht="17.45" customHeight="1">
      <c r="A51" s="12"/>
      <c r="B51" s="12"/>
      <c r="C51" s="12"/>
      <c r="D51" s="40"/>
      <c r="E51" s="40"/>
      <c r="F51" s="251"/>
      <c r="G51" s="251"/>
      <c r="H51" s="251"/>
      <c r="I51" s="251"/>
      <c r="J51" s="261"/>
      <c r="K51" s="261"/>
      <c r="L51" s="261"/>
      <c r="M51" s="261"/>
    </row>
    <row r="52" spans="1:15" ht="17.45" customHeight="1">
      <c r="A52" s="40"/>
      <c r="B52" s="251" t="s">
        <v>203</v>
      </c>
      <c r="C52" s="40"/>
      <c r="D52" s="40"/>
      <c r="E52" s="40"/>
      <c r="F52" s="251"/>
      <c r="G52" s="251"/>
      <c r="H52" s="251"/>
      <c r="I52" s="251"/>
      <c r="J52" s="261"/>
      <c r="K52" s="261"/>
      <c r="L52" s="261"/>
      <c r="M52" s="261"/>
    </row>
    <row r="53" spans="1:15" ht="18">
      <c r="B53" s="251" t="s">
        <v>204</v>
      </c>
      <c r="F53" s="261"/>
      <c r="G53" s="261"/>
      <c r="H53" s="261"/>
      <c r="I53" s="261"/>
      <c r="J53" s="261"/>
      <c r="K53" s="261"/>
      <c r="L53" s="261"/>
      <c r="M53" s="261"/>
    </row>
    <row r="54" spans="1:15" ht="18">
      <c r="B54" s="564" t="s">
        <v>277</v>
      </c>
      <c r="F54" s="261"/>
      <c r="G54" s="261"/>
      <c r="H54" s="261"/>
      <c r="I54" s="261"/>
      <c r="J54" s="261"/>
      <c r="K54" s="261"/>
      <c r="L54" s="261"/>
      <c r="M54" s="261"/>
    </row>
    <row r="55" spans="1:15" s="5" customFormat="1" ht="13.5" customHeight="1">
      <c r="F55" s="261"/>
      <c r="G55" s="261"/>
      <c r="H55" s="261"/>
      <c r="I55" s="261"/>
      <c r="J55" s="261"/>
      <c r="K55" s="261"/>
      <c r="L55" s="261"/>
      <c r="M55" s="261"/>
    </row>
    <row r="56" spans="1:15" ht="13.5" customHeight="1"/>
    <row r="57" spans="1:15" ht="13.5" customHeight="1"/>
    <row r="58" spans="1:15" ht="13.5" customHeight="1"/>
    <row r="59" spans="1:15" ht="13.5" customHeight="1"/>
    <row r="60" spans="1:15" ht="13.5" customHeight="1"/>
    <row r="61" spans="1:15" ht="13.5" customHeight="1"/>
    <row r="62" spans="1:15" ht="13.5" customHeight="1"/>
    <row r="63" spans="1:15" ht="13.5" customHeight="1"/>
    <row r="64" spans="1:15" ht="13.5" customHeight="1"/>
    <row r="65" ht="13.5" customHeight="1"/>
    <row r="66" ht="13.5" customHeight="1"/>
    <row r="67" ht="13.5" customHeight="1"/>
    <row r="68" ht="13.5" customHeight="1"/>
  </sheetData>
  <mergeCells count="3">
    <mergeCell ref="D5:E5"/>
    <mergeCell ref="F5:G5"/>
    <mergeCell ref="H5:I5"/>
  </mergeCells>
  <pageMargins left="0.70866141732283505" right="0.70866141732283505" top="0.74803149606299202" bottom="0.74803149606299202" header="0.31496062992126" footer="0.31496062992126"/>
  <pageSetup paperSize="9" scale="55"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0"/>
  <sheetViews>
    <sheetView view="pageBreakPreview" zoomScale="70" zoomScaleNormal="110" zoomScaleSheetLayoutView="70" workbookViewId="0">
      <selection activeCell="B42" sqref="B42"/>
    </sheetView>
  </sheetViews>
  <sheetFormatPr defaultColWidth="9.28515625" defaultRowHeight="13.5" customHeight="1"/>
  <cols>
    <col min="1" max="1" width="1.5703125" style="2" customWidth="1"/>
    <col min="2" max="2" width="4.28515625" style="2" customWidth="1"/>
    <col min="3" max="3" width="66.42578125" style="2" customWidth="1"/>
    <col min="4" max="5" width="19.5703125" style="2" hidden="1" customWidth="1"/>
    <col min="6" max="9" width="19.5703125" style="2" customWidth="1"/>
    <col min="10" max="10" width="9.28515625" style="2"/>
    <col min="11" max="11" width="20" style="2" hidden="1" customWidth="1"/>
    <col min="12" max="13" width="20" style="2" customWidth="1"/>
    <col min="14" max="14" width="14.85546875" style="2" customWidth="1"/>
    <col min="15" max="16" width="9.28515625" style="2"/>
    <col min="17" max="17" width="12" style="2" customWidth="1"/>
    <col min="18" max="16384" width="9.28515625" style="2"/>
  </cols>
  <sheetData>
    <row r="1" spans="1:15" ht="21" customHeight="1">
      <c r="A1" s="1" t="s">
        <v>205</v>
      </c>
      <c r="J1" s="5"/>
      <c r="K1" s="136"/>
      <c r="L1" s="136"/>
      <c r="M1" s="136"/>
      <c r="N1" s="136"/>
    </row>
    <row r="2" spans="1:15" ht="8.25" customHeight="1">
      <c r="J2" s="5"/>
      <c r="K2" s="136"/>
      <c r="L2" s="136"/>
      <c r="M2" s="136"/>
      <c r="N2" s="136"/>
    </row>
    <row r="3" spans="1:15" s="70" customFormat="1" ht="18">
      <c r="A3" s="67" t="s">
        <v>206</v>
      </c>
      <c r="J3" s="69"/>
      <c r="K3" s="136"/>
      <c r="L3" s="136"/>
      <c r="M3" s="136"/>
      <c r="N3" s="136"/>
    </row>
    <row r="4" spans="1:15" ht="16.5" customHeight="1">
      <c r="A4" s="12"/>
      <c r="B4" s="12"/>
      <c r="C4" s="12"/>
      <c r="D4" s="12"/>
      <c r="E4" s="12"/>
      <c r="F4" s="12"/>
      <c r="G4" s="12"/>
      <c r="H4" s="12"/>
      <c r="I4" s="12"/>
      <c r="J4" s="5"/>
      <c r="K4" s="5"/>
      <c r="L4" s="5"/>
      <c r="M4" s="5"/>
    </row>
    <row r="5" spans="1:15" s="5" customFormat="1" ht="18">
      <c r="A5" s="128"/>
      <c r="B5" s="126"/>
      <c r="C5" s="131"/>
      <c r="D5" s="581" t="s">
        <v>7</v>
      </c>
      <c r="E5" s="582"/>
      <c r="F5" s="581" t="s">
        <v>2</v>
      </c>
      <c r="G5" s="582"/>
      <c r="H5" s="579" t="s">
        <v>3</v>
      </c>
      <c r="I5" s="580"/>
      <c r="K5" s="185"/>
      <c r="L5" s="185"/>
      <c r="M5" s="185"/>
      <c r="N5" s="2"/>
      <c r="O5" s="2"/>
    </row>
    <row r="6" spans="1:15" s="5" customFormat="1" ht="18">
      <c r="A6" s="148"/>
      <c r="B6" s="149"/>
      <c r="C6" s="132"/>
      <c r="D6" s="178" t="s">
        <v>5</v>
      </c>
      <c r="E6" s="178" t="s">
        <v>6</v>
      </c>
      <c r="F6" s="178" t="s">
        <v>5</v>
      </c>
      <c r="G6" s="178" t="s">
        <v>6</v>
      </c>
      <c r="H6" s="178" t="s">
        <v>5</v>
      </c>
      <c r="I6" s="178" t="s">
        <v>6</v>
      </c>
      <c r="K6" s="163" t="s">
        <v>7</v>
      </c>
      <c r="L6" s="163" t="s">
        <v>2</v>
      </c>
      <c r="M6" s="163" t="s">
        <v>3</v>
      </c>
      <c r="N6" s="2"/>
      <c r="O6" s="2"/>
    </row>
    <row r="7" spans="1:15" ht="18">
      <c r="A7" s="21"/>
      <c r="B7" s="78"/>
      <c r="C7" s="78"/>
      <c r="D7" s="181"/>
      <c r="E7" s="181"/>
      <c r="F7" s="181"/>
      <c r="G7" s="181"/>
      <c r="H7" s="181"/>
      <c r="I7" s="181"/>
      <c r="J7" s="182"/>
      <c r="K7" s="181"/>
      <c r="L7" s="181"/>
      <c r="M7" s="181"/>
    </row>
    <row r="8" spans="1:15" ht="18">
      <c r="A8" s="21"/>
      <c r="B8" s="75" t="s">
        <v>207</v>
      </c>
      <c r="C8" s="78"/>
      <c r="D8" s="86">
        <v>625</v>
      </c>
      <c r="E8" s="86">
        <v>636</v>
      </c>
      <c r="F8" s="322"/>
      <c r="G8" s="322"/>
      <c r="H8" s="322"/>
      <c r="I8" s="322"/>
      <c r="J8" s="321"/>
      <c r="K8" s="322"/>
      <c r="L8" s="322"/>
      <c r="M8" s="322"/>
      <c r="N8" s="151"/>
      <c r="O8" s="151"/>
    </row>
    <row r="9" spans="1:15" ht="18">
      <c r="A9" s="21"/>
      <c r="B9" s="78" t="s">
        <v>208</v>
      </c>
      <c r="C9" s="78"/>
      <c r="D9" s="86"/>
      <c r="E9" s="86"/>
      <c r="F9" s="322"/>
      <c r="G9" s="322"/>
      <c r="H9" s="322"/>
      <c r="I9" s="322"/>
      <c r="J9" s="321"/>
      <c r="K9" s="322"/>
      <c r="L9" s="322"/>
      <c r="M9" s="322"/>
    </row>
    <row r="10" spans="1:15" ht="18">
      <c r="A10" s="21"/>
      <c r="B10" s="123" t="s">
        <v>209</v>
      </c>
      <c r="C10" s="78"/>
      <c r="D10" s="86">
        <v>1385</v>
      </c>
      <c r="E10" s="86">
        <v>1406</v>
      </c>
      <c r="F10" s="322">
        <v>1443</v>
      </c>
      <c r="G10" s="322">
        <v>1650</v>
      </c>
      <c r="H10" s="322">
        <v>1595</v>
      </c>
      <c r="I10" s="322">
        <v>1553</v>
      </c>
      <c r="J10" s="321"/>
      <c r="K10" s="322">
        <v>1406</v>
      </c>
      <c r="L10" s="322">
        <v>1650</v>
      </c>
      <c r="M10" s="322">
        <v>1553</v>
      </c>
    </row>
    <row r="11" spans="1:15" ht="18">
      <c r="A11" s="21"/>
      <c r="B11" s="228" t="s">
        <v>210</v>
      </c>
      <c r="C11" s="229"/>
      <c r="D11" s="87">
        <v>2880</v>
      </c>
      <c r="E11" s="87">
        <v>2903</v>
      </c>
      <c r="F11" s="323">
        <v>2965</v>
      </c>
      <c r="G11" s="323">
        <v>2997</v>
      </c>
      <c r="H11" s="323">
        <v>3011</v>
      </c>
      <c r="I11" s="323">
        <v>2983</v>
      </c>
      <c r="J11" s="321"/>
      <c r="K11" s="323">
        <v>2903</v>
      </c>
      <c r="L11" s="323">
        <v>2997</v>
      </c>
      <c r="M11" s="323">
        <v>2983</v>
      </c>
    </row>
    <row r="12" spans="1:15" s="3" customFormat="1" ht="18">
      <c r="A12" s="159"/>
      <c r="B12" s="75" t="s">
        <v>211</v>
      </c>
      <c r="C12" s="75"/>
      <c r="D12" s="198">
        <v>4265</v>
      </c>
      <c r="E12" s="198">
        <v>4309</v>
      </c>
      <c r="F12" s="325">
        <v>4408</v>
      </c>
      <c r="G12" s="325">
        <v>4647</v>
      </c>
      <c r="H12" s="325">
        <v>4606</v>
      </c>
      <c r="I12" s="325">
        <v>4536</v>
      </c>
      <c r="J12" s="324"/>
      <c r="K12" s="325">
        <v>4309</v>
      </c>
      <c r="L12" s="325">
        <v>4647</v>
      </c>
      <c r="M12" s="325">
        <v>4536</v>
      </c>
    </row>
    <row r="13" spans="1:15" ht="18">
      <c r="A13" s="21"/>
      <c r="B13" s="79"/>
      <c r="C13" s="79"/>
      <c r="D13" s="86"/>
      <c r="E13" s="86"/>
      <c r="F13" s="322"/>
      <c r="G13" s="322"/>
      <c r="H13" s="322"/>
      <c r="I13" s="322"/>
      <c r="J13" s="321"/>
      <c r="K13" s="322"/>
      <c r="L13" s="322"/>
      <c r="M13" s="322"/>
    </row>
    <row r="14" spans="1:15" ht="21">
      <c r="A14" s="21"/>
      <c r="B14" s="478" t="s">
        <v>212</v>
      </c>
      <c r="C14" s="79"/>
      <c r="D14" s="86"/>
      <c r="E14" s="86"/>
      <c r="F14" s="322"/>
      <c r="G14" s="322"/>
      <c r="H14" s="322"/>
      <c r="I14" s="322"/>
      <c r="J14" s="326"/>
      <c r="K14" s="322"/>
      <c r="L14" s="322"/>
      <c r="M14" s="322"/>
    </row>
    <row r="15" spans="1:15" ht="18">
      <c r="A15" s="21"/>
      <c r="B15" s="135" t="s">
        <v>209</v>
      </c>
      <c r="C15" s="79"/>
      <c r="D15" s="86">
        <v>13</v>
      </c>
      <c r="E15" s="86">
        <v>12</v>
      </c>
      <c r="F15" s="86">
        <v>12</v>
      </c>
      <c r="G15" s="86">
        <v>10</v>
      </c>
      <c r="H15" s="86">
        <v>10</v>
      </c>
      <c r="I15" s="86">
        <v>9</v>
      </c>
      <c r="J15" s="476"/>
      <c r="K15" s="86">
        <v>13</v>
      </c>
      <c r="L15" s="86">
        <v>11</v>
      </c>
      <c r="M15" s="86">
        <v>9</v>
      </c>
      <c r="N15" s="5"/>
    </row>
    <row r="16" spans="1:15" ht="18">
      <c r="A16" s="21"/>
      <c r="B16" s="230" t="s">
        <v>210</v>
      </c>
      <c r="C16" s="231"/>
      <c r="D16" s="87">
        <v>32</v>
      </c>
      <c r="E16" s="87">
        <v>33</v>
      </c>
      <c r="F16" s="87">
        <v>32</v>
      </c>
      <c r="G16" s="87">
        <v>33</v>
      </c>
      <c r="H16" s="87">
        <v>33</v>
      </c>
      <c r="I16" s="87">
        <v>32</v>
      </c>
      <c r="J16" s="476"/>
      <c r="K16" s="87">
        <v>33</v>
      </c>
      <c r="L16" s="87">
        <v>33</v>
      </c>
      <c r="M16" s="87">
        <v>33</v>
      </c>
      <c r="N16" s="5"/>
    </row>
    <row r="17" spans="1:14" s="3" customFormat="1" ht="18">
      <c r="A17" s="159"/>
      <c r="B17" s="75" t="s">
        <v>213</v>
      </c>
      <c r="C17" s="75"/>
      <c r="D17" s="199">
        <v>26</v>
      </c>
      <c r="E17" s="199">
        <v>26</v>
      </c>
      <c r="F17" s="199">
        <v>25</v>
      </c>
      <c r="G17" s="199">
        <v>25</v>
      </c>
      <c r="H17" s="199">
        <v>24</v>
      </c>
      <c r="I17" s="199">
        <v>24</v>
      </c>
      <c r="J17" s="561"/>
      <c r="K17" s="199">
        <v>26</v>
      </c>
      <c r="L17" s="199">
        <v>25</v>
      </c>
      <c r="M17" s="199">
        <v>24</v>
      </c>
      <c r="N17" s="10"/>
    </row>
    <row r="18" spans="1:14" ht="18" hidden="1" customHeight="1">
      <c r="A18" s="21"/>
      <c r="B18" s="125" t="s">
        <v>214</v>
      </c>
      <c r="C18" s="124"/>
      <c r="D18" s="87"/>
      <c r="E18" s="87"/>
      <c r="F18" s="87"/>
      <c r="G18" s="87"/>
      <c r="H18" s="87"/>
      <c r="I18" s="87"/>
      <c r="J18" s="476"/>
      <c r="K18" s="87"/>
      <c r="L18" s="87"/>
      <c r="M18" s="87"/>
      <c r="N18" s="10"/>
    </row>
    <row r="19" spans="1:14" s="4" customFormat="1" ht="18" hidden="1" customHeight="1">
      <c r="A19" s="32"/>
      <c r="B19" s="34" t="s">
        <v>215</v>
      </c>
      <c r="C19" s="33"/>
      <c r="D19" s="158"/>
      <c r="E19" s="158"/>
      <c r="F19" s="158"/>
      <c r="G19" s="158"/>
      <c r="H19" s="158"/>
      <c r="I19" s="158"/>
      <c r="J19" s="567"/>
      <c r="K19" s="158"/>
      <c r="L19" s="158"/>
      <c r="M19" s="158"/>
      <c r="N19" s="10"/>
    </row>
    <row r="20" spans="1:14" ht="18">
      <c r="A20" s="21"/>
      <c r="B20" s="40"/>
      <c r="C20" s="40"/>
      <c r="D20" s="86"/>
      <c r="E20" s="86"/>
      <c r="F20" s="86"/>
      <c r="G20" s="86"/>
      <c r="H20" s="86"/>
      <c r="I20" s="86"/>
      <c r="J20" s="476"/>
      <c r="K20" s="86"/>
      <c r="L20" s="86"/>
      <c r="M20" s="86"/>
      <c r="N20" s="10"/>
    </row>
    <row r="21" spans="1:14" ht="21">
      <c r="A21" s="21"/>
      <c r="B21" s="479" t="s">
        <v>216</v>
      </c>
      <c r="C21" s="40"/>
      <c r="D21" s="86">
        <v>9</v>
      </c>
      <c r="E21" s="86">
        <v>10</v>
      </c>
      <c r="F21" s="86">
        <v>12</v>
      </c>
      <c r="G21" s="86">
        <v>13</v>
      </c>
      <c r="H21" s="86">
        <v>14</v>
      </c>
      <c r="I21" s="86">
        <v>15</v>
      </c>
      <c r="J21" s="476"/>
      <c r="K21" s="86">
        <v>9</v>
      </c>
      <c r="L21" s="86">
        <v>12</v>
      </c>
      <c r="M21" s="86">
        <v>15</v>
      </c>
      <c r="N21" s="10"/>
    </row>
    <row r="22" spans="1:14" ht="18">
      <c r="A22" s="21"/>
      <c r="B22" s="40"/>
      <c r="C22" s="40"/>
      <c r="D22" s="59"/>
      <c r="E22" s="59"/>
      <c r="F22" s="86"/>
      <c r="G22" s="59"/>
      <c r="H22" s="86"/>
      <c r="I22" s="59"/>
      <c r="J22" s="476"/>
      <c r="K22" s="86"/>
      <c r="L22" s="86"/>
      <c r="M22" s="86"/>
      <c r="N22" s="10"/>
    </row>
    <row r="23" spans="1:14" ht="21">
      <c r="A23" s="21"/>
      <c r="B23" s="479" t="s">
        <v>217</v>
      </c>
      <c r="C23" s="40"/>
      <c r="D23" s="154">
        <v>8.9999999999999993E-3</v>
      </c>
      <c r="E23" s="154">
        <v>8.9999999999999993E-3</v>
      </c>
      <c r="F23" s="154">
        <v>0.01</v>
      </c>
      <c r="G23" s="154">
        <v>1.0999999999999999E-2</v>
      </c>
      <c r="H23" s="154">
        <v>1.0999999999999999E-2</v>
      </c>
      <c r="I23" s="154">
        <v>1.2999999999999999E-2</v>
      </c>
      <c r="J23" s="476"/>
      <c r="K23" s="154">
        <v>8.9999999999999993E-3</v>
      </c>
      <c r="L23" s="154">
        <v>1.0999999999999999E-2</v>
      </c>
      <c r="M23" s="154">
        <v>1.2E-2</v>
      </c>
      <c r="N23" s="10"/>
    </row>
    <row r="24" spans="1:14" ht="18">
      <c r="A24" s="21"/>
      <c r="B24" s="40"/>
      <c r="C24" s="40"/>
      <c r="D24" s="59"/>
      <c r="E24" s="59"/>
      <c r="F24" s="86"/>
      <c r="G24" s="59"/>
      <c r="H24" s="86"/>
      <c r="I24" s="59"/>
      <c r="J24" s="476"/>
      <c r="K24" s="86"/>
      <c r="L24" s="86"/>
      <c r="M24" s="86"/>
      <c r="N24" s="10"/>
    </row>
    <row r="25" spans="1:14" ht="21">
      <c r="A25" s="21"/>
      <c r="B25" s="479" t="s">
        <v>218</v>
      </c>
      <c r="C25" s="40"/>
      <c r="D25" s="154">
        <v>0.47399999999999998</v>
      </c>
      <c r="E25" s="154">
        <f>45.6%-0.001</f>
        <v>0.45500000000000002</v>
      </c>
      <c r="F25" s="154">
        <v>0.45300000000000001</v>
      </c>
      <c r="G25" s="154">
        <v>0.46300000000000002</v>
      </c>
      <c r="H25" s="154">
        <f>45.5%-0.4%</f>
        <v>0.45100000000000001</v>
      </c>
      <c r="I25" s="154">
        <v>0.44600000000000001</v>
      </c>
      <c r="J25" s="476"/>
      <c r="K25" s="154">
        <f>45.6%-0.001</f>
        <v>0.45500000000000002</v>
      </c>
      <c r="L25" s="154">
        <v>0.46300000000000002</v>
      </c>
      <c r="M25" s="154">
        <v>0.44600000000000001</v>
      </c>
      <c r="N25" s="5"/>
    </row>
    <row r="26" spans="1:14" ht="18">
      <c r="A26" s="21"/>
      <c r="B26" s="40"/>
      <c r="C26" s="40"/>
      <c r="D26" s="59"/>
      <c r="E26" s="59"/>
      <c r="F26" s="86"/>
      <c r="G26" s="59"/>
      <c r="H26" s="86"/>
      <c r="I26" s="59"/>
      <c r="J26" s="476"/>
      <c r="K26" s="86"/>
      <c r="L26" s="86"/>
      <c r="M26" s="86"/>
      <c r="N26" s="5"/>
    </row>
    <row r="27" spans="1:14" ht="18">
      <c r="A27" s="21"/>
      <c r="B27" s="15" t="s">
        <v>219</v>
      </c>
      <c r="C27" s="40"/>
      <c r="D27" s="59"/>
      <c r="E27" s="59"/>
      <c r="F27" s="86"/>
      <c r="G27" s="59"/>
      <c r="H27" s="86"/>
      <c r="I27" s="59"/>
      <c r="J27" s="476"/>
      <c r="K27" s="86"/>
      <c r="L27" s="86"/>
      <c r="M27" s="86"/>
      <c r="N27" s="5"/>
    </row>
    <row r="28" spans="1:14" s="76" customFormat="1" ht="18">
      <c r="A28" s="77"/>
      <c r="B28" s="79" t="s">
        <v>220</v>
      </c>
      <c r="C28" s="79"/>
      <c r="D28" s="60">
        <v>663</v>
      </c>
      <c r="E28" s="60">
        <v>668</v>
      </c>
      <c r="F28" s="477">
        <v>676</v>
      </c>
      <c r="G28" s="60">
        <v>682</v>
      </c>
      <c r="H28" s="477">
        <v>688</v>
      </c>
      <c r="I28" s="60">
        <v>691</v>
      </c>
      <c r="J28" s="568"/>
      <c r="K28" s="477">
        <v>668</v>
      </c>
      <c r="L28" s="477">
        <v>682</v>
      </c>
      <c r="M28" s="477">
        <v>691</v>
      </c>
      <c r="N28" s="569"/>
    </row>
    <row r="29" spans="1:14" s="76" customFormat="1" ht="18">
      <c r="A29" s="77"/>
      <c r="B29" s="79"/>
      <c r="C29" s="79"/>
      <c r="D29" s="59"/>
      <c r="E29" s="59"/>
      <c r="F29" s="86"/>
      <c r="G29" s="59"/>
      <c r="H29" s="86"/>
      <c r="I29" s="59"/>
      <c r="J29" s="568"/>
      <c r="K29" s="86"/>
      <c r="L29" s="86"/>
      <c r="M29" s="86"/>
      <c r="N29" s="569"/>
    </row>
    <row r="30" spans="1:14" s="76" customFormat="1" ht="18">
      <c r="A30" s="77"/>
      <c r="B30" s="75" t="s">
        <v>221</v>
      </c>
      <c r="C30" s="79"/>
      <c r="D30" s="183"/>
      <c r="E30" s="183"/>
      <c r="F30" s="322"/>
      <c r="G30" s="328"/>
      <c r="H30" s="322"/>
      <c r="I30" s="328"/>
      <c r="J30" s="372"/>
      <c r="K30" s="322"/>
      <c r="L30" s="322"/>
      <c r="M30" s="322"/>
    </row>
    <row r="31" spans="1:14" s="76" customFormat="1" ht="18">
      <c r="A31" s="77"/>
      <c r="B31" s="79" t="s">
        <v>222</v>
      </c>
      <c r="C31" s="79"/>
      <c r="D31" s="59"/>
      <c r="E31" s="59"/>
      <c r="F31" s="322"/>
      <c r="G31" s="327"/>
      <c r="H31" s="322"/>
      <c r="I31" s="327"/>
      <c r="J31" s="372"/>
      <c r="K31" s="322"/>
      <c r="L31" s="322"/>
      <c r="M31" s="322"/>
    </row>
    <row r="32" spans="1:14" s="76" customFormat="1" ht="18">
      <c r="A32" s="77"/>
      <c r="B32" s="79" t="s">
        <v>223</v>
      </c>
      <c r="C32" s="79"/>
      <c r="D32" s="59">
        <v>35</v>
      </c>
      <c r="E32" s="59">
        <v>34</v>
      </c>
      <c r="F32" s="322">
        <v>34</v>
      </c>
      <c r="G32" s="327">
        <v>35</v>
      </c>
      <c r="H32" s="322">
        <v>36</v>
      </c>
      <c r="I32" s="327">
        <v>34</v>
      </c>
      <c r="J32" s="372"/>
      <c r="K32" s="322">
        <v>34</v>
      </c>
      <c r="L32" s="322">
        <v>34</v>
      </c>
      <c r="M32" s="322">
        <v>35</v>
      </c>
    </row>
    <row r="33" spans="1:13" s="76" customFormat="1" ht="18">
      <c r="A33" s="77"/>
      <c r="B33" s="79"/>
      <c r="C33" s="79"/>
      <c r="D33" s="59"/>
      <c r="E33" s="59"/>
      <c r="F33" s="328"/>
      <c r="G33" s="327"/>
      <c r="H33" s="328"/>
      <c r="I33" s="327"/>
      <c r="J33" s="329"/>
      <c r="K33" s="327"/>
      <c r="L33" s="327"/>
      <c r="M33" s="328"/>
    </row>
    <row r="34" spans="1:13" ht="18">
      <c r="A34" s="22"/>
      <c r="B34" s="35"/>
      <c r="C34" s="14"/>
      <c r="D34" s="184"/>
      <c r="E34" s="184"/>
      <c r="F34" s="462"/>
      <c r="G34" s="462"/>
      <c r="H34" s="462"/>
      <c r="I34" s="462"/>
      <c r="J34" s="463"/>
      <c r="K34" s="462"/>
      <c r="L34" s="462"/>
      <c r="M34" s="462"/>
    </row>
    <row r="35" spans="1:13" ht="18">
      <c r="A35" s="12"/>
      <c r="B35" s="31"/>
      <c r="C35" s="12"/>
      <c r="D35" s="80"/>
      <c r="E35" s="80"/>
      <c r="F35" s="80"/>
      <c r="G35" s="80"/>
      <c r="H35" s="80"/>
      <c r="I35" s="80"/>
    </row>
    <row r="36" spans="1:13" ht="18">
      <c r="B36" s="464" t="s">
        <v>224</v>
      </c>
      <c r="C36" s="40"/>
      <c r="D36" s="80"/>
      <c r="E36" s="80"/>
      <c r="F36" s="80"/>
      <c r="G36" s="80"/>
      <c r="H36" s="80"/>
      <c r="I36" s="80"/>
      <c r="J36" s="5"/>
      <c r="K36" s="5"/>
      <c r="L36" s="5"/>
      <c r="M36" s="5"/>
    </row>
    <row r="37" spans="1:13" ht="18">
      <c r="B37" s="464" t="s">
        <v>225</v>
      </c>
      <c r="C37" s="40"/>
      <c r="D37" s="80"/>
      <c r="E37" s="80"/>
      <c r="F37" s="80"/>
      <c r="G37" s="80"/>
      <c r="H37" s="80"/>
      <c r="I37" s="80"/>
      <c r="J37" s="5"/>
      <c r="K37" s="5"/>
      <c r="L37" s="5"/>
      <c r="M37" s="5"/>
    </row>
    <row r="38" spans="1:13" ht="18">
      <c r="A38" s="40"/>
      <c r="B38" s="465" t="s">
        <v>226</v>
      </c>
      <c r="C38" s="466"/>
      <c r="D38" s="467"/>
      <c r="E38" s="467"/>
      <c r="F38" s="467"/>
      <c r="G38" s="467"/>
      <c r="H38" s="467"/>
      <c r="I38" s="467"/>
      <c r="J38" s="5"/>
      <c r="K38" s="5"/>
      <c r="L38" s="5"/>
      <c r="M38" s="5"/>
    </row>
    <row r="39" spans="1:13" ht="18">
      <c r="A39" s="40"/>
      <c r="B39" s="468" t="s">
        <v>227</v>
      </c>
      <c r="C39" s="5"/>
      <c r="D39" s="467"/>
      <c r="E39" s="467"/>
      <c r="F39" s="467"/>
      <c r="G39" s="467"/>
      <c r="H39" s="467"/>
      <c r="I39" s="467"/>
      <c r="J39" s="5"/>
      <c r="K39" s="5"/>
      <c r="L39" s="5"/>
      <c r="M39" s="5"/>
    </row>
    <row r="40" spans="1:13" ht="18">
      <c r="A40" s="40"/>
      <c r="B40" s="465" t="s">
        <v>228</v>
      </c>
      <c r="C40" s="466"/>
      <c r="D40" s="40"/>
      <c r="E40" s="40"/>
      <c r="F40" s="40"/>
      <c r="G40" s="40"/>
      <c r="H40" s="40"/>
      <c r="I40" s="40"/>
      <c r="J40" s="5"/>
      <c r="K40" s="5"/>
      <c r="L40" s="5"/>
      <c r="M40" s="5"/>
    </row>
    <row r="41" spans="1:13" ht="18">
      <c r="A41" s="40"/>
      <c r="B41" s="465" t="s">
        <v>229</v>
      </c>
      <c r="C41" s="466"/>
      <c r="D41" s="40"/>
      <c r="E41" s="40"/>
      <c r="F41" s="40"/>
      <c r="G41" s="40"/>
      <c r="H41" s="40"/>
      <c r="I41" s="40"/>
      <c r="J41" s="5"/>
      <c r="K41" s="5"/>
      <c r="L41" s="5"/>
      <c r="M41" s="5"/>
    </row>
    <row r="42" spans="1:13" ht="18">
      <c r="A42" s="40"/>
      <c r="B42" s="465" t="s">
        <v>230</v>
      </c>
      <c r="C42" s="466"/>
      <c r="D42" s="40"/>
      <c r="E42" s="40"/>
      <c r="F42" s="40"/>
      <c r="G42" s="40"/>
      <c r="H42" s="40"/>
      <c r="I42" s="40"/>
      <c r="J42" s="5"/>
      <c r="K42" s="5"/>
      <c r="L42" s="5"/>
      <c r="M42" s="5"/>
    </row>
    <row r="43" spans="1:13" ht="18">
      <c r="B43" s="465"/>
      <c r="C43" s="466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18" customHeigh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18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3" ht="18" customHeight="1">
      <c r="B46" s="5"/>
      <c r="C46" s="469"/>
      <c r="D46" s="5"/>
      <c r="E46" s="5"/>
      <c r="F46" s="5"/>
      <c r="G46" s="5"/>
      <c r="H46" s="5"/>
      <c r="I46" s="5"/>
      <c r="J46" s="5"/>
      <c r="K46" s="5"/>
      <c r="L46" s="5"/>
    </row>
    <row r="47" spans="1:13" ht="18" customHeight="1"/>
    <row r="48" spans="1:13" ht="18" customHeight="1"/>
    <row r="50" s="5" customFormat="1" ht="13.5" customHeight="1"/>
  </sheetData>
  <mergeCells count="3">
    <mergeCell ref="D5:E5"/>
    <mergeCell ref="F5:G5"/>
    <mergeCell ref="H5:I5"/>
  </mergeCells>
  <pageMargins left="0.70866141732283505" right="0.70866141732283505" top="0.74803149606299202" bottom="0.74803149606299202" header="0.31496062992126" footer="0.31496062992126"/>
  <pageSetup paperSize="9" scale="61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e88b08-59ee-4f5c-857b-7cedd757aded">
      <Terms xmlns="http://schemas.microsoft.com/office/infopath/2007/PartnerControls"/>
    </lcf76f155ced4ddcb4097134ff3c332f>
    <TaxCatchAll xmlns="0c4393c8-c838-46a5-a0b4-26a180c460be" xsi:nil="true"/>
    <SharedWithUsers xmlns="0c4393c8-c838-46a5-a0b4-26a180c460be">
      <UserInfo>
        <DisplayName>SharingLinks.a2aedbe9-644b-402e-91f9-f4e75cfeb567.Flexible.e3b57b5e-90b4-4e71-80d9-eeb15e1ba1c6</DisplayName>
        <AccountId>142</AccountId>
        <AccountType/>
      </UserInfo>
      <UserInfo>
        <DisplayName>Jennifer Sadeli (Singtel)</DisplayName>
        <AccountId>144</AccountId>
        <AccountType/>
      </UserInfo>
      <UserInfo>
        <DisplayName>Sylvia Kwan (Singtel)</DisplayName>
        <AccountId>395</AccountId>
        <AccountType/>
      </UserInfo>
      <UserInfo>
        <DisplayName>Breda Power</DisplayName>
        <AccountId>24</AccountId>
        <AccountType/>
      </UserInfo>
      <UserInfo>
        <DisplayName>Seah Jek Lim Adrian</DisplayName>
        <AccountId>13</AccountId>
        <AccountType/>
      </UserInfo>
      <UserInfo>
        <DisplayName>Xiushi Cai</DisplayName>
        <AccountId>18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F8C39CBEA5949A281D643FEB5E450" ma:contentTypeVersion="17" ma:contentTypeDescription="Create a new document." ma:contentTypeScope="" ma:versionID="bc7725ed554744d73f8ae72bd50a80be">
  <xsd:schema xmlns:xsd="http://www.w3.org/2001/XMLSchema" xmlns:xs="http://www.w3.org/2001/XMLSchema" xmlns:p="http://schemas.microsoft.com/office/2006/metadata/properties" xmlns:ns2="d9e88b08-59ee-4f5c-857b-7cedd757aded" xmlns:ns3="0c4393c8-c838-46a5-a0b4-26a180c460be" targetNamespace="http://schemas.microsoft.com/office/2006/metadata/properties" ma:root="true" ma:fieldsID="03e3f17a8f3b88e959532fd80035a269" ns2:_="" ns3:_="">
    <xsd:import namespace="d9e88b08-59ee-4f5c-857b-7cedd757aded"/>
    <xsd:import namespace="0c4393c8-c838-46a5-a0b4-26a180c46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e88b08-59ee-4f5c-857b-7cedd757ad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5741de4-c4de-40d7-9b89-276bd462a6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393c8-c838-46a5-a0b4-26a180c460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7f11d3c-9a7d-450b-a6e1-fbac2121eac1}" ma:internalName="TaxCatchAll" ma:showField="CatchAllData" ma:web="0c4393c8-c838-46a5-a0b4-26a180c46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B771E1-FA2E-4E71-B94F-730EABCB96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235079-2B9B-4597-A577-80EE2CED1FBB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0c4393c8-c838-46a5-a0b4-26a180c460be"/>
    <ds:schemaRef ds:uri="d9e88b08-59ee-4f5c-857b-7cedd757aded"/>
  </ds:schemaRefs>
</ds:datastoreItem>
</file>

<file path=customXml/itemProps3.xml><?xml version="1.0" encoding="utf-8"?>
<ds:datastoreItem xmlns:ds="http://schemas.openxmlformats.org/officeDocument/2006/customXml" ds:itemID="{C0A1C8A1-654A-47D5-9461-47DBA0887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e88b08-59ee-4f5c-857b-7cedd757aded"/>
    <ds:schemaRef ds:uri="0c4393c8-c838-46a5-a0b4-26a180c46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eb276ac-6e9f-498e-8e31-019ee666decd}" enabled="0" method="" siteId="{beb276ac-6e9f-498e-8e31-019ee666dec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Group P&amp;L (Half year)</vt:lpstr>
      <vt:lpstr>Optus (A$) (Half Year)</vt:lpstr>
      <vt:lpstr>Singtel Singapore (Half year)</vt:lpstr>
      <vt:lpstr>Singapore Consumer (Half year)</vt:lpstr>
      <vt:lpstr>NCS (Half year)</vt:lpstr>
      <vt:lpstr>Digital Co (Half year)</vt:lpstr>
      <vt:lpstr>Group Enterprise (Half year)</vt:lpstr>
      <vt:lpstr>Associates (Half year)</vt:lpstr>
      <vt:lpstr>Singapore drivers (Half year)</vt:lpstr>
      <vt:lpstr>Optus drivers (Half year)</vt:lpstr>
      <vt:lpstr>Group Balance Sheet (Half year)</vt:lpstr>
      <vt:lpstr>'Associates (Half year)'!Print_Area</vt:lpstr>
      <vt:lpstr>'Digital Co (Half year)'!Print_Area</vt:lpstr>
      <vt:lpstr>'Group Balance Sheet (Half year)'!Print_Area</vt:lpstr>
      <vt:lpstr>'Group Enterprise (Half year)'!Print_Area</vt:lpstr>
      <vt:lpstr>'Group P&amp;L (Half year)'!Print_Area</vt:lpstr>
      <vt:lpstr>'NCS (Half year)'!Print_Area</vt:lpstr>
      <vt:lpstr>'Optus (A$) (Half Year)'!Print_Area</vt:lpstr>
      <vt:lpstr>'Singapore Consumer (Half year)'!Print_Area</vt:lpstr>
      <vt:lpstr>'Singapore drivers (Half year)'!Print_Area</vt:lpstr>
      <vt:lpstr>'Singtel Singapore (Half year)'!Print_Area</vt:lpstr>
    </vt:vector>
  </TitlesOfParts>
  <Manager/>
  <Company>Singapore Telecom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aivinn</dc:creator>
  <cp:keywords/>
  <dc:description/>
  <cp:lastModifiedBy>Xiushi Cai</cp:lastModifiedBy>
  <cp:revision/>
  <dcterms:created xsi:type="dcterms:W3CDTF">2003-06-10T07:20:24Z</dcterms:created>
  <dcterms:modified xsi:type="dcterms:W3CDTF">2025-05-21T02:00:25Z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0x010100F5CF8C39CBEA5949A281D643FEB5E450</vt:lpwstr>
  </property>
  <property fmtid="{D5CDD505-2E9C-101B-9397-08002B2CF9AE}" pid="4" name="MediaServiceImageTags">
    <vt:lpwstr/>
  </property>
</Properties>
</file>